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T Support\Desktop\Docs (Website)\"/>
    </mc:Choice>
  </mc:AlternateContent>
  <xr:revisionPtr revIDLastSave="0" documentId="13_ncr:1_{2D0B598C-B0E9-4C7E-BC66-C30EEC8F4EAF}" xr6:coauthVersionLast="47" xr6:coauthVersionMax="47" xr10:uidLastSave="{00000000-0000-0000-0000-000000000000}"/>
  <bookViews>
    <workbookView xWindow="-120" yWindow="-120" windowWidth="24240" windowHeight="13140" activeTab="1" xr2:uid="{AF2FECBF-146F-4E5A-B223-5315CB292CB4}"/>
  </bookViews>
  <sheets>
    <sheet name="INPUTS" sheetId="4" r:id="rId1"/>
    <sheet name="COSTS" sheetId="3" r:id="rId2"/>
    <sheet name="SUMMARY" sheetId="2" r:id="rId3"/>
    <sheet name="Workings Core" sheetId="1" r:id="rId4"/>
    <sheet name="Workings Stress One" sheetId="5" r:id="rId5"/>
    <sheet name="Workings Stress Two" sheetId="6" r:id="rId6"/>
  </sheets>
  <definedNames>
    <definedName name="Base_summary">SUMMARY!$B$1:$H$61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3" l="1"/>
  <c r="B14" i="3"/>
  <c r="D12" i="4"/>
  <c r="P13" i="2"/>
  <c r="H34" i="4"/>
  <c r="F34" i="4"/>
  <c r="D34" i="4"/>
  <c r="H29" i="4"/>
  <c r="F29" i="4"/>
  <c r="D29" i="4"/>
  <c r="H11" i="4"/>
  <c r="F11" i="4"/>
  <c r="D11" i="4"/>
  <c r="J3" i="2"/>
  <c r="R39" i="2"/>
  <c r="P39" i="2"/>
  <c r="L39" i="2"/>
  <c r="J39" i="2"/>
  <c r="F39" i="2"/>
  <c r="D39" i="2"/>
  <c r="R43" i="2"/>
  <c r="P43" i="2"/>
  <c r="R42" i="2"/>
  <c r="P42" i="2"/>
  <c r="R41" i="2"/>
  <c r="P41" i="2"/>
  <c r="R40" i="2"/>
  <c r="P40" i="2"/>
  <c r="P38" i="2"/>
  <c r="P37" i="2"/>
  <c r="P36" i="2"/>
  <c r="P35" i="2"/>
  <c r="R81" i="2"/>
  <c r="R79" i="2"/>
  <c r="P79" i="2"/>
  <c r="P81" i="2" s="1"/>
  <c r="T73" i="2"/>
  <c r="T66" i="2" s="1"/>
  <c r="R38" i="2"/>
  <c r="L81" i="2"/>
  <c r="L79" i="2"/>
  <c r="J79" i="2"/>
  <c r="J81" i="2" s="1"/>
  <c r="N73" i="2"/>
  <c r="N66" i="2" s="1"/>
  <c r="L43" i="2"/>
  <c r="J43" i="2"/>
  <c r="L42" i="2"/>
  <c r="J42" i="2"/>
  <c r="L41" i="2"/>
  <c r="J41" i="2"/>
  <c r="L40" i="2"/>
  <c r="J40" i="2"/>
  <c r="L38" i="2"/>
  <c r="J38" i="2"/>
  <c r="J37" i="2"/>
  <c r="J36" i="2"/>
  <c r="J35" i="2"/>
  <c r="F43" i="2"/>
  <c r="F41" i="2"/>
  <c r="D43" i="2"/>
  <c r="D41" i="2"/>
  <c r="F42" i="2"/>
  <c r="F40" i="2"/>
  <c r="D42" i="2"/>
  <c r="D40" i="2"/>
  <c r="D37" i="2"/>
  <c r="D36" i="2"/>
  <c r="F38" i="2"/>
  <c r="D38" i="2"/>
  <c r="D35" i="2"/>
  <c r="F119" i="6"/>
  <c r="C109" i="6"/>
  <c r="C106" i="6"/>
  <c r="F106" i="6" s="1"/>
  <c r="C105" i="6"/>
  <c r="D105" i="6" s="1"/>
  <c r="C102" i="6"/>
  <c r="F102" i="6" s="1"/>
  <c r="G93" i="6"/>
  <c r="D93" i="6"/>
  <c r="G92" i="6"/>
  <c r="D92" i="6"/>
  <c r="C87" i="6"/>
  <c r="F87" i="6" s="1"/>
  <c r="C83" i="6"/>
  <c r="C81" i="6"/>
  <c r="C79" i="6"/>
  <c r="F79" i="6" s="1"/>
  <c r="C78" i="6"/>
  <c r="F78" i="6" s="1"/>
  <c r="G75" i="6"/>
  <c r="D75" i="6"/>
  <c r="C68" i="6"/>
  <c r="F68" i="6" s="1"/>
  <c r="F65" i="6"/>
  <c r="C65" i="6"/>
  <c r="C64" i="6"/>
  <c r="F64" i="6" s="1"/>
  <c r="G64" i="6" s="1"/>
  <c r="F61" i="6"/>
  <c r="C61" i="6"/>
  <c r="F50" i="6"/>
  <c r="C50" i="6"/>
  <c r="G46" i="6"/>
  <c r="D46" i="6"/>
  <c r="C40" i="6"/>
  <c r="F40" i="6" s="1"/>
  <c r="C38" i="6"/>
  <c r="F38" i="6" s="1"/>
  <c r="C36" i="6"/>
  <c r="C34" i="6"/>
  <c r="C32" i="6"/>
  <c r="F32" i="6" s="1"/>
  <c r="C31" i="6"/>
  <c r="F31" i="6" s="1"/>
  <c r="G29" i="6"/>
  <c r="G45" i="6" s="1"/>
  <c r="G61" i="6" s="1"/>
  <c r="D29" i="6"/>
  <c r="D45" i="6" s="1"/>
  <c r="D47" i="6" s="1"/>
  <c r="D21" i="6"/>
  <c r="G21" i="6" s="1"/>
  <c r="D15" i="6"/>
  <c r="D12" i="6"/>
  <c r="G12" i="6" s="1"/>
  <c r="C6" i="6"/>
  <c r="F6" i="6" s="1"/>
  <c r="F119" i="5"/>
  <c r="C109" i="5"/>
  <c r="C106" i="5"/>
  <c r="F106" i="5" s="1"/>
  <c r="C105" i="5"/>
  <c r="F105" i="5" s="1"/>
  <c r="G105" i="5" s="1"/>
  <c r="C102" i="5"/>
  <c r="F102" i="5" s="1"/>
  <c r="G93" i="5"/>
  <c r="D93" i="5"/>
  <c r="G92" i="5"/>
  <c r="D92" i="5"/>
  <c r="C87" i="5"/>
  <c r="F87" i="5" s="1"/>
  <c r="C83" i="5"/>
  <c r="C81" i="5"/>
  <c r="C79" i="5"/>
  <c r="F79" i="5" s="1"/>
  <c r="C78" i="5"/>
  <c r="F78" i="5" s="1"/>
  <c r="G75" i="5"/>
  <c r="D75" i="5"/>
  <c r="C68" i="5"/>
  <c r="F68" i="5" s="1"/>
  <c r="F65" i="5"/>
  <c r="C65" i="5"/>
  <c r="C64" i="5"/>
  <c r="F64" i="5" s="1"/>
  <c r="G64" i="5" s="1"/>
  <c r="F61" i="5"/>
  <c r="C61" i="5"/>
  <c r="F50" i="5"/>
  <c r="C50" i="5"/>
  <c r="G46" i="5"/>
  <c r="D46" i="5"/>
  <c r="C40" i="5"/>
  <c r="F40" i="5" s="1"/>
  <c r="C38" i="5"/>
  <c r="F38" i="5" s="1"/>
  <c r="C36" i="5"/>
  <c r="C34" i="5"/>
  <c r="C32" i="5"/>
  <c r="F32" i="5" s="1"/>
  <c r="C31" i="5"/>
  <c r="F31" i="5" s="1"/>
  <c r="G29" i="5"/>
  <c r="G45" i="5" s="1"/>
  <c r="D29" i="5"/>
  <c r="D45" i="5" s="1"/>
  <c r="D21" i="5"/>
  <c r="G21" i="5" s="1"/>
  <c r="D15" i="5"/>
  <c r="D12" i="5"/>
  <c r="G12" i="5" s="1"/>
  <c r="C6" i="5"/>
  <c r="F6" i="5" s="1"/>
  <c r="C119" i="6"/>
  <c r="C85" i="6"/>
  <c r="F85" i="6" s="1"/>
  <c r="C119" i="5"/>
  <c r="C85" i="5"/>
  <c r="F85" i="5" s="1"/>
  <c r="F119" i="1"/>
  <c r="C119" i="1"/>
  <c r="H60" i="4"/>
  <c r="F60" i="4"/>
  <c r="D60" i="4"/>
  <c r="H58" i="4"/>
  <c r="F58" i="4"/>
  <c r="D55" i="4"/>
  <c r="D53" i="4"/>
  <c r="H36" i="4"/>
  <c r="F36" i="4"/>
  <c r="D36" i="4"/>
  <c r="H31" i="4"/>
  <c r="F31" i="4"/>
  <c r="D31" i="4"/>
  <c r="H12" i="4"/>
  <c r="F12" i="4"/>
  <c r="H13" i="4"/>
  <c r="G5" i="6" s="1"/>
  <c r="F13" i="6" s="1"/>
  <c r="F13" i="4"/>
  <c r="G94" i="6" l="1"/>
  <c r="G103" i="6" s="1"/>
  <c r="D94" i="6"/>
  <c r="D103" i="6" s="1"/>
  <c r="D5" i="5"/>
  <c r="C13" i="5" s="1"/>
  <c r="D13" i="5" s="1"/>
  <c r="J19" i="2" s="1"/>
  <c r="P1" i="2"/>
  <c r="P3" i="2"/>
  <c r="R3" i="2"/>
  <c r="D5" i="6"/>
  <c r="I5" i="6" s="1"/>
  <c r="L3" i="2"/>
  <c r="N3" i="2" s="1"/>
  <c r="G5" i="5"/>
  <c r="F13" i="5" s="1"/>
  <c r="G13" i="5" s="1"/>
  <c r="F105" i="6"/>
  <c r="G105" i="6" s="1"/>
  <c r="G13" i="6"/>
  <c r="R19" i="2" s="1"/>
  <c r="G65" i="6"/>
  <c r="F109" i="6"/>
  <c r="G15" i="6"/>
  <c r="D62" i="6"/>
  <c r="D50" i="6"/>
  <c r="D102" i="6"/>
  <c r="D61" i="6"/>
  <c r="G6" i="6"/>
  <c r="G7" i="6" s="1"/>
  <c r="R4" i="2" s="1"/>
  <c r="R5" i="2" s="1"/>
  <c r="G102" i="6"/>
  <c r="G47" i="6"/>
  <c r="F81" i="6"/>
  <c r="F34" i="6"/>
  <c r="F83" i="6"/>
  <c r="F36" i="6"/>
  <c r="D119" i="6"/>
  <c r="D64" i="6"/>
  <c r="D105" i="5"/>
  <c r="D94" i="5"/>
  <c r="D103" i="5" s="1"/>
  <c r="G94" i="5"/>
  <c r="G103" i="5" s="1"/>
  <c r="G15" i="5"/>
  <c r="D102" i="5"/>
  <c r="D61" i="5"/>
  <c r="F109" i="5"/>
  <c r="G102" i="5"/>
  <c r="G47" i="5"/>
  <c r="F81" i="5"/>
  <c r="F34" i="5"/>
  <c r="F83" i="5"/>
  <c r="F36" i="5"/>
  <c r="D47" i="5"/>
  <c r="G61" i="5"/>
  <c r="D64" i="5"/>
  <c r="D13" i="4"/>
  <c r="F3" i="2" s="1"/>
  <c r="N81" i="2"/>
  <c r="T81" i="2"/>
  <c r="T79" i="2"/>
  <c r="T86" i="2" s="1"/>
  <c r="N79" i="2"/>
  <c r="N93" i="2" s="1"/>
  <c r="D6" i="5" l="1"/>
  <c r="I5" i="5"/>
  <c r="C13" i="6"/>
  <c r="D13" i="6" s="1"/>
  <c r="I13" i="6" s="1"/>
  <c r="T3" i="2"/>
  <c r="D6" i="6"/>
  <c r="D7" i="6" s="1"/>
  <c r="P4" i="2" s="1"/>
  <c r="T4" i="2" s="1"/>
  <c r="I13" i="5"/>
  <c r="L19" i="2"/>
  <c r="N19" i="2" s="1"/>
  <c r="G6" i="5"/>
  <c r="G7" i="5" s="1"/>
  <c r="L4" i="2" s="1"/>
  <c r="L5" i="2" s="1"/>
  <c r="D115" i="6"/>
  <c r="G50" i="6"/>
  <c r="G119" i="6"/>
  <c r="G62" i="6"/>
  <c r="G63" i="6" s="1"/>
  <c r="G66" i="6" s="1"/>
  <c r="G68" i="6" s="1"/>
  <c r="D106" i="6"/>
  <c r="D104" i="6"/>
  <c r="B78" i="6"/>
  <c r="D63" i="6"/>
  <c r="D65" i="6"/>
  <c r="G106" i="6"/>
  <c r="G104" i="6"/>
  <c r="G106" i="5"/>
  <c r="G104" i="5"/>
  <c r="G65" i="5"/>
  <c r="D50" i="5"/>
  <c r="D62" i="5"/>
  <c r="D63" i="5" s="1"/>
  <c r="D119" i="5"/>
  <c r="D7" i="5"/>
  <c r="J4" i="2" s="1"/>
  <c r="D65" i="5"/>
  <c r="G50" i="5"/>
  <c r="G119" i="5"/>
  <c r="G62" i="5"/>
  <c r="G63" i="5" s="1"/>
  <c r="G66" i="5" s="1"/>
  <c r="G68" i="5" s="1"/>
  <c r="D106" i="5"/>
  <c r="D104" i="5"/>
  <c r="T93" i="2"/>
  <c r="N86" i="2"/>
  <c r="P19" i="2" l="1"/>
  <c r="T19" i="2" s="1"/>
  <c r="I7" i="6"/>
  <c r="I6" i="6"/>
  <c r="B31" i="6"/>
  <c r="D31" i="6" s="1"/>
  <c r="P5" i="2"/>
  <c r="T5" i="2" s="1"/>
  <c r="D66" i="5"/>
  <c r="D68" i="5" s="1"/>
  <c r="D116" i="5" s="1"/>
  <c r="D107" i="5"/>
  <c r="D109" i="5" s="1"/>
  <c r="B78" i="5"/>
  <c r="D78" i="5" s="1"/>
  <c r="G78" i="5" s="1"/>
  <c r="J5" i="2"/>
  <c r="N5" i="2" s="1"/>
  <c r="N4" i="2"/>
  <c r="I6" i="5"/>
  <c r="D107" i="6"/>
  <c r="D109" i="6" s="1"/>
  <c r="G107" i="6"/>
  <c r="G109" i="6" s="1"/>
  <c r="D66" i="6"/>
  <c r="D68" i="6" s="1"/>
  <c r="D116" i="6" s="1"/>
  <c r="D117" i="6" s="1"/>
  <c r="D121" i="6" s="1"/>
  <c r="D122" i="6" s="1"/>
  <c r="G115" i="6"/>
  <c r="D78" i="6"/>
  <c r="G78" i="6" s="1"/>
  <c r="G116" i="6"/>
  <c r="B31" i="5"/>
  <c r="I7" i="5"/>
  <c r="G115" i="5"/>
  <c r="G107" i="5"/>
  <c r="G109" i="5" s="1"/>
  <c r="G116" i="5"/>
  <c r="D115" i="5"/>
  <c r="G117" i="6" l="1"/>
  <c r="G121" i="6" s="1"/>
  <c r="G122" i="6" s="1"/>
  <c r="G79" i="6"/>
  <c r="G80" i="6" s="1"/>
  <c r="D48" i="6"/>
  <c r="C52" i="6"/>
  <c r="D32" i="6"/>
  <c r="G31" i="6"/>
  <c r="I31" i="6" s="1"/>
  <c r="I78" i="6"/>
  <c r="D79" i="6"/>
  <c r="G117" i="5"/>
  <c r="G121" i="5" s="1"/>
  <c r="G122" i="5" s="1"/>
  <c r="G79" i="5"/>
  <c r="G80" i="5" s="1"/>
  <c r="D117" i="5"/>
  <c r="D121" i="5" s="1"/>
  <c r="D122" i="5" s="1"/>
  <c r="I78" i="5"/>
  <c r="D79" i="5"/>
  <c r="D31" i="5"/>
  <c r="G31" i="5" s="1"/>
  <c r="I79" i="5" l="1"/>
  <c r="I80" i="5" s="1"/>
  <c r="I79" i="6"/>
  <c r="I80" i="6" s="1"/>
  <c r="D80" i="6"/>
  <c r="D85" i="6" s="1"/>
  <c r="D33" i="6"/>
  <c r="G85" i="6"/>
  <c r="G81" i="6"/>
  <c r="G82" i="6" s="1"/>
  <c r="D52" i="6"/>
  <c r="G48" i="6"/>
  <c r="G32" i="6"/>
  <c r="I32" i="6" s="1"/>
  <c r="I33" i="6" s="1"/>
  <c r="F52" i="6"/>
  <c r="D80" i="5"/>
  <c r="G85" i="5"/>
  <c r="G81" i="5"/>
  <c r="G82" i="5" s="1"/>
  <c r="I31" i="5"/>
  <c r="D48" i="5"/>
  <c r="C52" i="5"/>
  <c r="D32" i="5"/>
  <c r="G48" i="5"/>
  <c r="G32" i="5"/>
  <c r="G33" i="5" s="1"/>
  <c r="F52" i="5"/>
  <c r="I85" i="6" l="1"/>
  <c r="G33" i="6"/>
  <c r="G34" i="6" s="1"/>
  <c r="D81" i="6"/>
  <c r="I81" i="6" s="1"/>
  <c r="I82" i="6" s="1"/>
  <c r="D34" i="6"/>
  <c r="D35" i="6" s="1"/>
  <c r="G52" i="6"/>
  <c r="G83" i="6"/>
  <c r="G84" i="6" s="1"/>
  <c r="G86" i="6" s="1"/>
  <c r="F97" i="6" s="1"/>
  <c r="I32" i="5"/>
  <c r="I33" i="5" s="1"/>
  <c r="G83" i="5"/>
  <c r="G84" i="5" s="1"/>
  <c r="G86" i="5" s="1"/>
  <c r="F97" i="5" s="1"/>
  <c r="D85" i="5"/>
  <c r="I85" i="5" s="1"/>
  <c r="D81" i="5"/>
  <c r="G52" i="5"/>
  <c r="D33" i="5"/>
  <c r="G34" i="5"/>
  <c r="G35" i="5" s="1"/>
  <c r="D52" i="5"/>
  <c r="F129" i="6" l="1"/>
  <c r="G129" i="6"/>
  <c r="F129" i="5"/>
  <c r="G129" i="5"/>
  <c r="I81" i="5"/>
  <c r="I82" i="5" s="1"/>
  <c r="F17" i="5"/>
  <c r="G17" i="5" s="1"/>
  <c r="G35" i="6"/>
  <c r="G36" i="6" s="1"/>
  <c r="G37" i="6" s="1"/>
  <c r="D82" i="6"/>
  <c r="D83" i="6" s="1"/>
  <c r="G95" i="6"/>
  <c r="G87" i="6"/>
  <c r="G88" i="6" s="1"/>
  <c r="F98" i="6"/>
  <c r="D36" i="6"/>
  <c r="I52" i="6"/>
  <c r="I34" i="6"/>
  <c r="I35" i="6" s="1"/>
  <c r="G36" i="5"/>
  <c r="G37" i="5" s="1"/>
  <c r="I52" i="5"/>
  <c r="D34" i="5"/>
  <c r="C17" i="5" s="1"/>
  <c r="D17" i="5" s="1"/>
  <c r="D82" i="5"/>
  <c r="G95" i="5"/>
  <c r="G87" i="5"/>
  <c r="G88" i="5" s="1"/>
  <c r="F98" i="5"/>
  <c r="G98" i="6" l="1"/>
  <c r="G97" i="6"/>
  <c r="G98" i="5"/>
  <c r="G97" i="5"/>
  <c r="I17" i="5"/>
  <c r="C16" i="6"/>
  <c r="D16" i="6" s="1"/>
  <c r="P15" i="2" s="1"/>
  <c r="F17" i="6"/>
  <c r="G17" i="6" s="1"/>
  <c r="F18" i="6"/>
  <c r="G18" i="6" s="1"/>
  <c r="C17" i="6"/>
  <c r="D17" i="6" s="1"/>
  <c r="C18" i="6"/>
  <c r="D18" i="6" s="1"/>
  <c r="I34" i="5"/>
  <c r="I35" i="5" s="1"/>
  <c r="F16" i="6"/>
  <c r="I83" i="6"/>
  <c r="I84" i="6" s="1"/>
  <c r="I86" i="6" s="1"/>
  <c r="F99" i="6"/>
  <c r="F110" i="6"/>
  <c r="G110" i="6" s="1"/>
  <c r="G38" i="6"/>
  <c r="F53" i="6" s="1"/>
  <c r="I36" i="6"/>
  <c r="I37" i="6" s="1"/>
  <c r="D84" i="6"/>
  <c r="D86" i="6" s="1"/>
  <c r="C97" i="6" s="1"/>
  <c r="D37" i="6"/>
  <c r="F99" i="5"/>
  <c r="F110" i="5"/>
  <c r="G110" i="5" s="1"/>
  <c r="D35" i="5"/>
  <c r="D83" i="5"/>
  <c r="F18" i="5" s="1"/>
  <c r="F16" i="5"/>
  <c r="G38" i="5"/>
  <c r="F53" i="5" s="1"/>
  <c r="G128" i="6" l="1"/>
  <c r="D97" i="6"/>
  <c r="I97" i="6" s="1"/>
  <c r="F128" i="6"/>
  <c r="P16" i="2"/>
  <c r="P17" i="2" s="1"/>
  <c r="R16" i="2"/>
  <c r="I17" i="6"/>
  <c r="F19" i="6"/>
  <c r="F22" i="6" s="1"/>
  <c r="G22" i="6" s="1"/>
  <c r="R18" i="2" s="1"/>
  <c r="G16" i="6"/>
  <c r="R15" i="2" s="1"/>
  <c r="T15" i="2" s="1"/>
  <c r="G39" i="6"/>
  <c r="G40" i="6" s="1"/>
  <c r="G41" i="6" s="1"/>
  <c r="F55" i="6" s="1"/>
  <c r="D38" i="6"/>
  <c r="D39" i="6" s="1"/>
  <c r="D19" i="6"/>
  <c r="D87" i="6"/>
  <c r="I87" i="6" s="1"/>
  <c r="D95" i="6"/>
  <c r="C98" i="6"/>
  <c r="D98" i="6" s="1"/>
  <c r="I98" i="6" s="1"/>
  <c r="C129" i="6"/>
  <c r="G99" i="6"/>
  <c r="D129" i="6" s="1"/>
  <c r="I18" i="6"/>
  <c r="G53" i="6"/>
  <c r="G54" i="6" s="1"/>
  <c r="F54" i="6"/>
  <c r="C19" i="6"/>
  <c r="C22" i="6" s="1"/>
  <c r="D22" i="6" s="1"/>
  <c r="C16" i="5"/>
  <c r="D36" i="5"/>
  <c r="C18" i="5" s="1"/>
  <c r="G16" i="5"/>
  <c r="L15" i="2" s="1"/>
  <c r="G18" i="5"/>
  <c r="L16" i="2" s="1"/>
  <c r="I83" i="5"/>
  <c r="I84" i="5" s="1"/>
  <c r="I86" i="5" s="1"/>
  <c r="G53" i="5"/>
  <c r="G54" i="5" s="1"/>
  <c r="F54" i="5"/>
  <c r="C129" i="5"/>
  <c r="G99" i="5"/>
  <c r="D129" i="5" s="1"/>
  <c r="G39" i="5"/>
  <c r="D84" i="5"/>
  <c r="D86" i="5" s="1"/>
  <c r="C97" i="5" s="1"/>
  <c r="G19" i="6" l="1"/>
  <c r="G55" i="6"/>
  <c r="G127" i="6"/>
  <c r="F127" i="6"/>
  <c r="T16" i="2"/>
  <c r="F128" i="5"/>
  <c r="G128" i="5"/>
  <c r="D97" i="5"/>
  <c r="I97" i="5" s="1"/>
  <c r="I16" i="6"/>
  <c r="R17" i="2"/>
  <c r="R20" i="2" s="1"/>
  <c r="G24" i="6"/>
  <c r="F56" i="6"/>
  <c r="G56" i="6" s="1"/>
  <c r="T17" i="2"/>
  <c r="I88" i="6"/>
  <c r="R6" i="2" s="1"/>
  <c r="R22" i="2"/>
  <c r="I22" i="6"/>
  <c r="P18" i="2"/>
  <c r="T18" i="2" s="1"/>
  <c r="T20" i="2" s="1"/>
  <c r="L17" i="2"/>
  <c r="F19" i="5"/>
  <c r="F22" i="5" s="1"/>
  <c r="G22" i="5" s="1"/>
  <c r="L18" i="2" s="1"/>
  <c r="D88" i="6"/>
  <c r="C56" i="6"/>
  <c r="D56" i="6" s="1"/>
  <c r="D40" i="6"/>
  <c r="I40" i="6" s="1"/>
  <c r="P22" i="2" s="1"/>
  <c r="F57" i="6"/>
  <c r="F69" i="6"/>
  <c r="G69" i="6" s="1"/>
  <c r="D24" i="6"/>
  <c r="C53" i="6"/>
  <c r="I38" i="6"/>
  <c r="I39" i="6" s="1"/>
  <c r="I19" i="6"/>
  <c r="G40" i="5"/>
  <c r="G41" i="5" s="1"/>
  <c r="F55" i="5" s="1"/>
  <c r="F56" i="5"/>
  <c r="G56" i="5" s="1"/>
  <c r="D18" i="5"/>
  <c r="J16" i="2" s="1"/>
  <c r="I36" i="5"/>
  <c r="I37" i="5" s="1"/>
  <c r="D37" i="5"/>
  <c r="D95" i="5"/>
  <c r="D87" i="5"/>
  <c r="I87" i="5" s="1"/>
  <c r="C98" i="5"/>
  <c r="D98" i="5" s="1"/>
  <c r="I98" i="5" s="1"/>
  <c r="G19" i="5"/>
  <c r="D16" i="5"/>
  <c r="J15" i="2" s="1"/>
  <c r="C64" i="1"/>
  <c r="G55" i="5" l="1"/>
  <c r="F127" i="5"/>
  <c r="G127" i="5"/>
  <c r="I24" i="6"/>
  <c r="I56" i="6"/>
  <c r="T22" i="2"/>
  <c r="L20" i="2"/>
  <c r="P20" i="2"/>
  <c r="N15" i="2"/>
  <c r="I88" i="5"/>
  <c r="L6" i="2" s="1"/>
  <c r="L22" i="2"/>
  <c r="I18" i="5"/>
  <c r="N16" i="2"/>
  <c r="G24" i="5"/>
  <c r="D53" i="6"/>
  <c r="C54" i="6"/>
  <c r="D41" i="6"/>
  <c r="C55" i="6" s="1"/>
  <c r="I41" i="6"/>
  <c r="P6" i="2" s="1"/>
  <c r="T6" i="2" s="1"/>
  <c r="G57" i="6"/>
  <c r="D127" i="6" s="1"/>
  <c r="C127" i="6"/>
  <c r="C99" i="6"/>
  <c r="C110" i="6"/>
  <c r="D110" i="6" s="1"/>
  <c r="I110" i="6" s="1"/>
  <c r="R23" i="2" s="1"/>
  <c r="R24" i="2" s="1"/>
  <c r="C19" i="5"/>
  <c r="C22" i="5" s="1"/>
  <c r="D22" i="5" s="1"/>
  <c r="F57" i="5"/>
  <c r="F69" i="5"/>
  <c r="G69" i="5" s="1"/>
  <c r="D38" i="5"/>
  <c r="I16" i="5"/>
  <c r="D19" i="5"/>
  <c r="D88" i="5"/>
  <c r="C83" i="1"/>
  <c r="C81" i="1"/>
  <c r="C36" i="1"/>
  <c r="F36" i="1" s="1"/>
  <c r="C34" i="1"/>
  <c r="F34" i="1" s="1"/>
  <c r="D55" i="6" l="1"/>
  <c r="I55" i="6" s="1"/>
  <c r="G126" i="6"/>
  <c r="G130" i="6" s="1"/>
  <c r="F126" i="6"/>
  <c r="F130" i="6" s="1"/>
  <c r="F133" i="6" s="1"/>
  <c r="I19" i="5"/>
  <c r="N17" i="2"/>
  <c r="I22" i="5"/>
  <c r="J18" i="2"/>
  <c r="N18" i="2" s="1"/>
  <c r="J17" i="2"/>
  <c r="D24" i="5"/>
  <c r="I24" i="5" s="1"/>
  <c r="C128" i="6"/>
  <c r="D99" i="6"/>
  <c r="C69" i="6"/>
  <c r="D69" i="6" s="1"/>
  <c r="I69" i="6" s="1"/>
  <c r="P23" i="2" s="1"/>
  <c r="T23" i="2" s="1"/>
  <c r="C57" i="6"/>
  <c r="I53" i="6"/>
  <c r="I54" i="6" s="1"/>
  <c r="P21" i="2" s="1"/>
  <c r="T21" i="2" s="1"/>
  <c r="D54" i="6"/>
  <c r="C99" i="5"/>
  <c r="C110" i="5"/>
  <c r="D110" i="5" s="1"/>
  <c r="I110" i="5" s="1"/>
  <c r="L23" i="2" s="1"/>
  <c r="L24" i="2" s="1"/>
  <c r="C53" i="5"/>
  <c r="I38" i="5"/>
  <c r="I39" i="5" s="1"/>
  <c r="D39" i="5"/>
  <c r="G57" i="5"/>
  <c r="D127" i="5" s="1"/>
  <c r="C127" i="5"/>
  <c r="F81" i="1"/>
  <c r="F83" i="1"/>
  <c r="G131" i="6" l="1"/>
  <c r="G133" i="6" s="1"/>
  <c r="T7" i="2" s="1"/>
  <c r="T24" i="2"/>
  <c r="P24" i="2"/>
  <c r="N20" i="2"/>
  <c r="J20" i="2"/>
  <c r="C126" i="6"/>
  <c r="C130" i="6" s="1"/>
  <c r="C133" i="6" s="1"/>
  <c r="D57" i="6"/>
  <c r="I99" i="6"/>
  <c r="D128" i="6"/>
  <c r="D53" i="5"/>
  <c r="C54" i="5"/>
  <c r="C56" i="5"/>
  <c r="D56" i="5" s="1"/>
  <c r="I56" i="5" s="1"/>
  <c r="D40" i="5"/>
  <c r="I40" i="5" s="1"/>
  <c r="C128" i="5"/>
  <c r="D99" i="5"/>
  <c r="C109" i="1"/>
  <c r="F109" i="1" s="1"/>
  <c r="C106" i="1"/>
  <c r="F106" i="1" s="1"/>
  <c r="G93" i="1"/>
  <c r="D93" i="1"/>
  <c r="G75" i="1"/>
  <c r="D75" i="1"/>
  <c r="C68" i="1"/>
  <c r="F68" i="1" s="1"/>
  <c r="C85" i="1"/>
  <c r="F85" i="1" s="1"/>
  <c r="C79" i="1"/>
  <c r="F79" i="1" s="1"/>
  <c r="C78" i="1"/>
  <c r="C38" i="1"/>
  <c r="F38" i="1" s="1"/>
  <c r="C32" i="1"/>
  <c r="F32" i="1" s="1"/>
  <c r="C31" i="1"/>
  <c r="D15" i="1"/>
  <c r="G15" i="1" s="1"/>
  <c r="H73" i="2"/>
  <c r="H66" i="2" s="1"/>
  <c r="F81" i="2"/>
  <c r="F79" i="2"/>
  <c r="D79" i="2"/>
  <c r="D81" i="2" s="1"/>
  <c r="C6" i="1"/>
  <c r="F6" i="1" s="1"/>
  <c r="C105" i="1"/>
  <c r="F105" i="1" s="1"/>
  <c r="G105" i="1" s="1"/>
  <c r="F53" i="4"/>
  <c r="D64" i="1"/>
  <c r="I41" i="5" l="1"/>
  <c r="J6" i="2" s="1"/>
  <c r="N6" i="2" s="1"/>
  <c r="J22" i="2"/>
  <c r="N22" i="2" s="1"/>
  <c r="D126" i="6"/>
  <c r="D130" i="6" s="1"/>
  <c r="D131" i="6" s="1"/>
  <c r="D133" i="6" s="1"/>
  <c r="T8" i="2" s="1"/>
  <c r="I57" i="6"/>
  <c r="I99" i="5"/>
  <c r="D128" i="5"/>
  <c r="I53" i="5"/>
  <c r="I54" i="5" s="1"/>
  <c r="J21" i="2" s="1"/>
  <c r="N21" i="2" s="1"/>
  <c r="D54" i="5"/>
  <c r="D41" i="5"/>
  <c r="C55" i="5" s="1"/>
  <c r="H81" i="2"/>
  <c r="H79" i="2"/>
  <c r="H93" i="2" s="1"/>
  <c r="F64" i="1"/>
  <c r="G64" i="1" s="1"/>
  <c r="D105" i="1"/>
  <c r="F126" i="5" l="1"/>
  <c r="F130" i="5" s="1"/>
  <c r="F133" i="5" s="1"/>
  <c r="G126" i="5"/>
  <c r="G130" i="5" s="1"/>
  <c r="G131" i="5" s="1"/>
  <c r="D55" i="5"/>
  <c r="I55" i="5" s="1"/>
  <c r="R8" i="2"/>
  <c r="C69" i="5"/>
  <c r="D69" i="5" s="1"/>
  <c r="I69" i="5" s="1"/>
  <c r="J23" i="2" s="1"/>
  <c r="C57" i="5"/>
  <c r="H86" i="2"/>
  <c r="G133" i="5" l="1"/>
  <c r="N7" i="2" s="1"/>
  <c r="N23" i="2"/>
  <c r="N24" i="2" s="1"/>
  <c r="J24" i="2"/>
  <c r="C126" i="5"/>
  <c r="C130" i="5" s="1"/>
  <c r="C133" i="5" s="1"/>
  <c r="D57" i="5"/>
  <c r="H55" i="4"/>
  <c r="F55" i="4"/>
  <c r="D3" i="2"/>
  <c r="C87" i="1"/>
  <c r="F87" i="1" s="1"/>
  <c r="C40" i="1"/>
  <c r="F40" i="1" s="1"/>
  <c r="G92" i="1"/>
  <c r="D92" i="1"/>
  <c r="F65" i="1"/>
  <c r="C65" i="1"/>
  <c r="F61" i="1"/>
  <c r="C61" i="1"/>
  <c r="F50" i="1"/>
  <c r="C50" i="1"/>
  <c r="G46" i="1"/>
  <c r="D46" i="1"/>
  <c r="G29" i="1"/>
  <c r="D29" i="1"/>
  <c r="D21" i="1"/>
  <c r="G21" i="1" s="1"/>
  <c r="D12" i="1"/>
  <c r="G12" i="1" s="1"/>
  <c r="G5" i="1"/>
  <c r="F13" i="1" s="1"/>
  <c r="D5" i="1"/>
  <c r="B75" i="3"/>
  <c r="B63" i="3"/>
  <c r="T25" i="2" l="1"/>
  <c r="H25" i="2"/>
  <c r="N25" i="2"/>
  <c r="H26" i="2"/>
  <c r="N26" i="2"/>
  <c r="T26" i="2"/>
  <c r="N27" i="2"/>
  <c r="N28" i="2" s="1"/>
  <c r="H27" i="2"/>
  <c r="T27" i="2"/>
  <c r="D126" i="5"/>
  <c r="D130" i="5" s="1"/>
  <c r="D131" i="5" s="1"/>
  <c r="D133" i="5" s="1"/>
  <c r="N8" i="2" s="1"/>
  <c r="I57" i="5"/>
  <c r="H53" i="4"/>
  <c r="C13" i="1"/>
  <c r="I5" i="1"/>
  <c r="D58" i="4"/>
  <c r="C102" i="1"/>
  <c r="F102" i="1" s="1"/>
  <c r="H3" i="2"/>
  <c r="T28" i="2" l="1"/>
  <c r="N31" i="2"/>
  <c r="N52" i="2"/>
  <c r="N53" i="2" s="1"/>
  <c r="N54" i="2" s="1"/>
  <c r="N56" i="2" s="1"/>
  <c r="N9" i="2"/>
  <c r="N10" i="2" s="1"/>
  <c r="H9" i="2"/>
  <c r="T9" i="2"/>
  <c r="T10" i="2" s="1"/>
  <c r="T31" i="2"/>
  <c r="T52" i="2"/>
  <c r="T53" i="2" s="1"/>
  <c r="T54" i="2" s="1"/>
  <c r="T56" i="2" s="1"/>
  <c r="L8" i="2"/>
  <c r="G13" i="1"/>
  <c r="F19" i="2" s="1"/>
  <c r="D13" i="1"/>
  <c r="D19" i="2" s="1"/>
  <c r="T60" i="2" l="1"/>
  <c r="T57" i="2"/>
  <c r="T58" i="2" s="1"/>
  <c r="P68" i="2"/>
  <c r="J68" i="2"/>
  <c r="N68" i="2" s="1"/>
  <c r="N60" i="2"/>
  <c r="N57" i="2"/>
  <c r="N58" i="2" s="1"/>
  <c r="H19" i="2"/>
  <c r="I13" i="1"/>
  <c r="G94" i="1"/>
  <c r="G103" i="1" s="1"/>
  <c r="D94" i="1"/>
  <c r="D103" i="1" s="1"/>
  <c r="F78" i="1"/>
  <c r="T68" i="2" l="1"/>
  <c r="P88" i="2"/>
  <c r="P89" i="2" s="1"/>
  <c r="P90" i="2" s="1"/>
  <c r="P91" i="2" s="1"/>
  <c r="P69" i="2"/>
  <c r="J88" i="2"/>
  <c r="J89" i="2" s="1"/>
  <c r="J90" i="2" s="1"/>
  <c r="J91" i="2" s="1"/>
  <c r="J69" i="2"/>
  <c r="J70" i="2" s="1"/>
  <c r="F31" i="1"/>
  <c r="G45" i="1"/>
  <c r="D45" i="1"/>
  <c r="G6" i="1"/>
  <c r="P70" i="2" l="1"/>
  <c r="T69" i="2"/>
  <c r="N69" i="2"/>
  <c r="N70" i="2"/>
  <c r="J71" i="2"/>
  <c r="N71" i="2" s="1"/>
  <c r="G47" i="1"/>
  <c r="G119" i="1" s="1"/>
  <c r="G102" i="1"/>
  <c r="D47" i="1"/>
  <c r="D102" i="1"/>
  <c r="G61" i="1"/>
  <c r="G7" i="1"/>
  <c r="D6" i="1"/>
  <c r="T70" i="2" l="1"/>
  <c r="P71" i="2"/>
  <c r="T71" i="2" s="1"/>
  <c r="D7" i="1"/>
  <c r="I6" i="1"/>
  <c r="F4" i="2"/>
  <c r="F5" i="2" s="1"/>
  <c r="G62" i="1"/>
  <c r="G63" i="1" s="1"/>
  <c r="G50" i="1"/>
  <c r="G115" i="1" s="1"/>
  <c r="D104" i="1"/>
  <c r="D106" i="1"/>
  <c r="D62" i="1"/>
  <c r="D119" i="1"/>
  <c r="G104" i="1"/>
  <c r="G106" i="1"/>
  <c r="G65" i="1"/>
  <c r="B78" i="1"/>
  <c r="D50" i="1"/>
  <c r="D115" i="1" s="1"/>
  <c r="B31" i="1" l="1"/>
  <c r="D4" i="2"/>
  <c r="D5" i="2" s="1"/>
  <c r="H5" i="2" s="1"/>
  <c r="I7" i="1"/>
  <c r="D78" i="1"/>
  <c r="D79" i="1" s="1"/>
  <c r="D31" i="1"/>
  <c r="G66" i="1"/>
  <c r="G68" i="1" s="1"/>
  <c r="G116" i="1" s="1"/>
  <c r="G117" i="1" s="1"/>
  <c r="G121" i="1" s="1"/>
  <c r="G122" i="1" s="1"/>
  <c r="G107" i="1"/>
  <c r="G109" i="1" s="1"/>
  <c r="D80" i="1" l="1"/>
  <c r="D85" i="1" s="1"/>
  <c r="G78" i="1"/>
  <c r="I78" i="1" s="1"/>
  <c r="C52" i="1"/>
  <c r="D48" i="1"/>
  <c r="D32" i="1"/>
  <c r="G31" i="1"/>
  <c r="D81" i="1" l="1"/>
  <c r="G79" i="1"/>
  <c r="I79" i="1" s="1"/>
  <c r="I80" i="1" s="1"/>
  <c r="I31" i="1"/>
  <c r="F52" i="1"/>
  <c r="G48" i="1"/>
  <c r="D82" i="1" l="1"/>
  <c r="D83" i="1" s="1"/>
  <c r="G80" i="1"/>
  <c r="G81" i="1" s="1"/>
  <c r="G82" i="1" s="1"/>
  <c r="D61" i="1"/>
  <c r="F16" i="1" l="1"/>
  <c r="G16" i="1"/>
  <c r="F15" i="2" s="1"/>
  <c r="F17" i="1"/>
  <c r="F18" i="1"/>
  <c r="G85" i="1"/>
  <c r="I85" i="1" s="1"/>
  <c r="I81" i="1"/>
  <c r="I82" i="1" s="1"/>
  <c r="G83" i="1"/>
  <c r="G84" i="1" s="1"/>
  <c r="D84" i="1"/>
  <c r="D86" i="1" s="1"/>
  <c r="D65" i="1"/>
  <c r="D63" i="1"/>
  <c r="D95" i="1" l="1"/>
  <c r="C97" i="1"/>
  <c r="F19" i="1"/>
  <c r="G18" i="1"/>
  <c r="G17" i="1"/>
  <c r="G86" i="1"/>
  <c r="I83" i="1"/>
  <c r="I84" i="1" s="1"/>
  <c r="I86" i="1" s="1"/>
  <c r="C98" i="1"/>
  <c r="D98" i="1" s="1"/>
  <c r="D87" i="1"/>
  <c r="D88" i="1" s="1"/>
  <c r="D107" i="1"/>
  <c r="D109" i="1" s="1"/>
  <c r="D66" i="1"/>
  <c r="D68" i="1" s="1"/>
  <c r="D116" i="1" s="1"/>
  <c r="D117" i="1" s="1"/>
  <c r="D121" i="1" s="1"/>
  <c r="D122" i="1" s="1"/>
  <c r="D97" i="1" l="1"/>
  <c r="F128" i="1"/>
  <c r="G128" i="1"/>
  <c r="F98" i="1"/>
  <c r="F97" i="1"/>
  <c r="G95" i="1"/>
  <c r="G87" i="1"/>
  <c r="G88" i="1" s="1"/>
  <c r="F110" i="1" s="1"/>
  <c r="C99" i="1"/>
  <c r="C128" i="1" s="1"/>
  <c r="C110" i="1"/>
  <c r="D110" i="1" s="1"/>
  <c r="I87" i="1" l="1"/>
  <c r="F22" i="2" s="1"/>
  <c r="F99" i="1"/>
  <c r="C129" i="1" s="1"/>
  <c r="G97" i="1"/>
  <c r="I97" i="1" s="1"/>
  <c r="G129" i="1"/>
  <c r="F129" i="1"/>
  <c r="I88" i="1"/>
  <c r="F6" i="2" s="1"/>
  <c r="G52" i="1" l="1"/>
  <c r="D52" i="1"/>
  <c r="D33" i="1"/>
  <c r="G32" i="1"/>
  <c r="G33" i="1" s="1"/>
  <c r="G34" i="1" l="1"/>
  <c r="G35" i="1" s="1"/>
  <c r="G36" i="1" s="1"/>
  <c r="D34" i="1"/>
  <c r="I52" i="1"/>
  <c r="I32" i="1"/>
  <c r="I33" i="1" s="1"/>
  <c r="G98" i="1"/>
  <c r="C17" i="1" l="1"/>
  <c r="D35" i="1"/>
  <c r="D36" i="1" s="1"/>
  <c r="C18" i="1" s="1"/>
  <c r="I34" i="1"/>
  <c r="I35" i="1" s="1"/>
  <c r="G37" i="1"/>
  <c r="I98" i="1"/>
  <c r="C16" i="1" l="1"/>
  <c r="D16" i="1"/>
  <c r="D15" i="2" s="1"/>
  <c r="H15" i="2" s="1"/>
  <c r="C19" i="1"/>
  <c r="D18" i="1"/>
  <c r="D17" i="1"/>
  <c r="D37" i="1"/>
  <c r="D38" i="1" s="1"/>
  <c r="D39" i="1" s="1"/>
  <c r="I36" i="1"/>
  <c r="I37" i="1" s="1"/>
  <c r="G38" i="1"/>
  <c r="G39" i="1" s="1"/>
  <c r="G40" i="1" s="1"/>
  <c r="G41" i="1" s="1"/>
  <c r="F55" i="1" s="1"/>
  <c r="G99" i="1"/>
  <c r="D129" i="1" s="1"/>
  <c r="I16" i="1" l="1"/>
  <c r="G55" i="1"/>
  <c r="G127" i="1"/>
  <c r="F127" i="1"/>
  <c r="I17" i="1"/>
  <c r="F16" i="2"/>
  <c r="D16" i="2"/>
  <c r="F57" i="1"/>
  <c r="G57" i="1" s="1"/>
  <c r="D127" i="1" s="1"/>
  <c r="F69" i="1"/>
  <c r="G69" i="1" s="1"/>
  <c r="C53" i="1"/>
  <c r="C54" i="1" s="1"/>
  <c r="G110" i="1"/>
  <c r="F56" i="1"/>
  <c r="G56" i="1" s="1"/>
  <c r="F53" i="1"/>
  <c r="I38" i="1"/>
  <c r="I39" i="1" s="1"/>
  <c r="C56" i="1"/>
  <c r="D56" i="1" s="1"/>
  <c r="D40" i="1"/>
  <c r="I40" i="1" s="1"/>
  <c r="D99" i="1"/>
  <c r="D53" i="1" l="1"/>
  <c r="D54" i="1" s="1"/>
  <c r="C127" i="1"/>
  <c r="D22" i="2"/>
  <c r="H22" i="2" s="1"/>
  <c r="I56" i="1"/>
  <c r="I41" i="1"/>
  <c r="D6" i="2" s="1"/>
  <c r="H6" i="2" s="1"/>
  <c r="D41" i="1"/>
  <c r="C22" i="1"/>
  <c r="D22" i="1" s="1"/>
  <c r="D18" i="2" s="1"/>
  <c r="D17" i="2"/>
  <c r="F22" i="1"/>
  <c r="G22" i="1" s="1"/>
  <c r="F18" i="2" s="1"/>
  <c r="F54" i="1"/>
  <c r="G53" i="1"/>
  <c r="I99" i="1"/>
  <c r="D128" i="1"/>
  <c r="C69" i="1" l="1"/>
  <c r="D69" i="1" s="1"/>
  <c r="C55" i="1"/>
  <c r="D20" i="2"/>
  <c r="H4" i="2"/>
  <c r="C57" i="1"/>
  <c r="I110" i="1"/>
  <c r="F23" i="2" s="1"/>
  <c r="G54" i="1"/>
  <c r="I53" i="1"/>
  <c r="I18" i="1"/>
  <c r="D19" i="1"/>
  <c r="D24" i="1" s="1"/>
  <c r="F17" i="2"/>
  <c r="F20" i="2" s="1"/>
  <c r="G19" i="1"/>
  <c r="G24" i="1" s="1"/>
  <c r="H18" i="2"/>
  <c r="I22" i="1"/>
  <c r="F126" i="1" l="1"/>
  <c r="F130" i="1" s="1"/>
  <c r="F133" i="1" s="1"/>
  <c r="D55" i="1"/>
  <c r="I55" i="1" s="1"/>
  <c r="G126" i="1"/>
  <c r="G130" i="1" s="1"/>
  <c r="G131" i="1" s="1"/>
  <c r="G133" i="1" s="1"/>
  <c r="H7" i="2" s="1"/>
  <c r="I69" i="1"/>
  <c r="D23" i="2" s="1"/>
  <c r="F24" i="2"/>
  <c r="I54" i="1"/>
  <c r="C126" i="1"/>
  <c r="C130" i="1" s="1"/>
  <c r="C133" i="1" s="1"/>
  <c r="D57" i="1"/>
  <c r="I19" i="1"/>
  <c r="H16" i="2"/>
  <c r="H17" i="2" s="1"/>
  <c r="H20" i="2" s="1"/>
  <c r="I24" i="1"/>
  <c r="D21" i="2" l="1"/>
  <c r="H21" i="2" s="1"/>
  <c r="H23" i="2"/>
  <c r="D126" i="1"/>
  <c r="D130" i="1" s="1"/>
  <c r="D131" i="1" s="1"/>
  <c r="D133" i="1" s="1"/>
  <c r="H8" i="2" s="1"/>
  <c r="I57" i="1"/>
  <c r="H10" i="2" l="1"/>
  <c r="F8" i="2"/>
  <c r="D24" i="2"/>
  <c r="H24" i="2"/>
  <c r="H28" i="2" s="1"/>
  <c r="T29" i="2" s="1"/>
  <c r="T30" i="2" s="1"/>
  <c r="T32" i="2" s="1"/>
  <c r="J82" i="2"/>
  <c r="N82" i="2" s="1"/>
  <c r="N83" i="2" s="1"/>
  <c r="L87" i="2" s="1"/>
  <c r="T11" i="2"/>
  <c r="N11" i="2"/>
  <c r="N29" i="2" l="1"/>
  <c r="N30" i="2" s="1"/>
  <c r="N32" i="2" s="1"/>
  <c r="N48" i="2" s="1"/>
  <c r="J67" i="2" s="1"/>
  <c r="H52" i="2"/>
  <c r="H29" i="2"/>
  <c r="H30" i="2" s="1"/>
  <c r="H31" i="2"/>
  <c r="T48" i="2"/>
  <c r="P67" i="2" s="1"/>
  <c r="P82" i="2"/>
  <c r="T82" i="2" s="1"/>
  <c r="T83" i="2" s="1"/>
  <c r="R87" i="2" s="1"/>
  <c r="D82" i="2"/>
  <c r="H82" i="2" s="1"/>
  <c r="H83" i="2" s="1"/>
  <c r="F87" i="2" s="1"/>
  <c r="F88" i="2" s="1"/>
  <c r="F89" i="2" s="1"/>
  <c r="F90" i="2" s="1"/>
  <c r="F91" i="2" s="1"/>
  <c r="L88" i="2"/>
  <c r="N88" i="2" s="1"/>
  <c r="H32" i="2" l="1"/>
  <c r="H48" i="2" s="1"/>
  <c r="H49" i="2" s="1"/>
  <c r="H50" i="2" s="1"/>
  <c r="H53" i="2" s="1"/>
  <c r="H54" i="2" s="1"/>
  <c r="H56" i="2" s="1"/>
  <c r="H60" i="2" s="1"/>
  <c r="H11" i="2" s="1"/>
  <c r="N49" i="2"/>
  <c r="N50" i="2" s="1"/>
  <c r="P87" i="2"/>
  <c r="T87" i="2" s="1"/>
  <c r="T67" i="2"/>
  <c r="T49" i="2"/>
  <c r="T50" i="2" s="1"/>
  <c r="J87" i="2"/>
  <c r="N87" i="2" s="1"/>
  <c r="N67" i="2"/>
  <c r="R88" i="2"/>
  <c r="T88" i="2" s="1"/>
  <c r="L89" i="2"/>
  <c r="N89" i="2" s="1"/>
  <c r="D67" i="2" l="1"/>
  <c r="H67" i="2" s="1"/>
  <c r="H57" i="2"/>
  <c r="H58" i="2" s="1"/>
  <c r="D68" i="2"/>
  <c r="D88" i="2" s="1"/>
  <c r="D89" i="2" s="1"/>
  <c r="H89" i="2" s="1"/>
  <c r="T72" i="2"/>
  <c r="T74" i="2" s="1"/>
  <c r="T76" i="2"/>
  <c r="N72" i="2"/>
  <c r="N74" i="2" s="1"/>
  <c r="N76" i="2"/>
  <c r="R89" i="2"/>
  <c r="T89" i="2" s="1"/>
  <c r="L90" i="2"/>
  <c r="N90" i="2" s="1"/>
  <c r="D87" i="2" l="1"/>
  <c r="H87" i="2" s="1"/>
  <c r="H68" i="2"/>
  <c r="D69" i="2"/>
  <c r="H69" i="2" s="1"/>
  <c r="D90" i="2"/>
  <c r="H90" i="2" s="1"/>
  <c r="H88" i="2"/>
  <c r="R90" i="2"/>
  <c r="T90" i="2" s="1"/>
  <c r="L91" i="2"/>
  <c r="N91" i="2" s="1"/>
  <c r="D91" i="2" l="1"/>
  <c r="H91" i="2" s="1"/>
  <c r="H96" i="2" s="1"/>
  <c r="D70" i="2"/>
  <c r="H70" i="2" s="1"/>
  <c r="R91" i="2"/>
  <c r="T91" i="2" s="1"/>
  <c r="T92" i="2" s="1"/>
  <c r="T94" i="2" s="1"/>
  <c r="N96" i="2"/>
  <c r="N92" i="2"/>
  <c r="N94" i="2" s="1"/>
  <c r="H92" i="2" l="1"/>
  <c r="H94" i="2" s="1"/>
  <c r="D71" i="2"/>
  <c r="H71" i="2" s="1"/>
  <c r="H76" i="2" s="1"/>
  <c r="T96" i="2"/>
  <c r="H72" i="2" l="1"/>
  <c r="H74" i="2" s="1"/>
</calcChain>
</file>

<file path=xl/sharedStrings.xml><?xml version="1.0" encoding="utf-8"?>
<sst xmlns="http://schemas.openxmlformats.org/spreadsheetml/2006/main" count="624" uniqueCount="292">
  <si>
    <t>POPULATION MODULE</t>
  </si>
  <si>
    <t>Average LTV for CF</t>
  </si>
  <si>
    <t>Average Net Profit per House Sale</t>
  </si>
  <si>
    <t>Average Gross Profit per House Sale</t>
  </si>
  <si>
    <t>Percentage Profit kept by Albani</t>
  </si>
  <si>
    <t>VALUATIONS MODULE</t>
  </si>
  <si>
    <t>FREE</t>
  </si>
  <si>
    <t>MENDER</t>
  </si>
  <si>
    <t>NUMBER OF ENQUIRIES</t>
  </si>
  <si>
    <t>TIER One</t>
  </si>
  <si>
    <t>TIER Two</t>
  </si>
  <si>
    <t>Totals</t>
  </si>
  <si>
    <t>Average House price per TIER</t>
  </si>
  <si>
    <t>Less: OFF-MARKETS</t>
  </si>
  <si>
    <t>CF TOTALS</t>
  </si>
  <si>
    <t>CF TIER One</t>
  </si>
  <si>
    <t>CF TIER Two</t>
  </si>
  <si>
    <t>CM TIER One</t>
  </si>
  <si>
    <t>CM TIER Two</t>
  </si>
  <si>
    <t>CM TOTALS</t>
  </si>
  <si>
    <t>TOTAL</t>
  </si>
  <si>
    <t xml:space="preserve">TOTAL </t>
  </si>
  <si>
    <t>NON-EXIT COSTS</t>
  </si>
  <si>
    <t xml:space="preserve">SET UP COSTS </t>
  </si>
  <si>
    <t xml:space="preserve">OVERHEAD COSTS </t>
  </si>
  <si>
    <t xml:space="preserve">OFFICE EXPENSES </t>
  </si>
  <si>
    <t>CHAIN FREE</t>
  </si>
  <si>
    <t>CHAIN MENDER</t>
  </si>
  <si>
    <t xml:space="preserve">CHAIN FREE </t>
  </si>
  <si>
    <t xml:space="preserve">CHAIN MENDER </t>
  </si>
  <si>
    <t>CF Plan Fee (1% LTV/ Fall Back Price)</t>
  </si>
  <si>
    <t>Average Return over Max 20-week period</t>
  </si>
  <si>
    <t>Average Return Annualised</t>
  </si>
  <si>
    <t>LTV Factor Applied TIER One</t>
  </si>
  <si>
    <t>Average House Price LTV TIER One</t>
  </si>
  <si>
    <t>Average House Price LTV TIER Two</t>
  </si>
  <si>
    <t>Average Selling Price Tier One</t>
  </si>
  <si>
    <t>SECTION A</t>
  </si>
  <si>
    <t>SECTION B</t>
  </si>
  <si>
    <t>SECTION C</t>
  </si>
  <si>
    <t>Profit Before Tax</t>
  </si>
  <si>
    <t>GENERAL</t>
  </si>
  <si>
    <t>Corporation Tax Rate</t>
  </si>
  <si>
    <t>Corporation Tax</t>
  </si>
  <si>
    <t>Retained Profit</t>
  </si>
  <si>
    <t xml:space="preserve">£ </t>
  </si>
  <si>
    <t>Average Selling Price Tier Two</t>
  </si>
  <si>
    <t>LTV Factor Applied TIER Two</t>
  </si>
  <si>
    <t>STRESS ONE</t>
  </si>
  <si>
    <t>STRESS TWO</t>
  </si>
  <si>
    <t>Yr 1</t>
  </si>
  <si>
    <t>Yr 2</t>
  </si>
  <si>
    <t>Yr 3</t>
  </si>
  <si>
    <t>Yr 4</t>
  </si>
  <si>
    <t>Yr 5</t>
  </si>
  <si>
    <t>Invest</t>
  </si>
  <si>
    <t>Base</t>
  </si>
  <si>
    <t>GUESS OF COLLABORATOR WACC</t>
  </si>
  <si>
    <t>Sum of Present Value Returns</t>
  </si>
  <si>
    <t>Initial Outlay (Investment)</t>
  </si>
  <si>
    <t>Net Present Value</t>
  </si>
  <si>
    <t>Net Present Value (Ignoring own facility costs)</t>
  </si>
  <si>
    <t>Albani Dividend (Year 1)</t>
  </si>
  <si>
    <t>Albani Dividend (Year 2)</t>
  </si>
  <si>
    <t>IRR (5-year excluding collaborator debt financing costs)</t>
  </si>
  <si>
    <t>Facility Fee (On set-up of facility being one-off)</t>
  </si>
  <si>
    <t>Annual facility fee renewal (paid annually)</t>
  </si>
  <si>
    <t>Debts Facility Draw-down Fee (based on 20 weeks)</t>
  </si>
  <si>
    <t>INVESTMENT RETURNS (BEFORE FINANCING/DEBT COSTS)</t>
  </si>
  <si>
    <t>INVESTMENT RETURNS (AFTER FINANCING/DEBT COSTS)</t>
  </si>
  <si>
    <t>ROUGH ATTEMPT AT GUESSING DEBT COSTS</t>
  </si>
  <si>
    <t>SECTION D</t>
  </si>
  <si>
    <t>Facility REQUIREMENT</t>
  </si>
  <si>
    <t>Retained Profit Year 2</t>
  </si>
  <si>
    <t>Discount by WACC &gt;&gt;</t>
  </si>
  <si>
    <t>Finance costs</t>
  </si>
  <si>
    <t>Total annual finance costs</t>
  </si>
  <si>
    <t>CALCULATIONS RE NON-EXITS (Drawdowns)</t>
  </si>
  <si>
    <t>CF Tier One</t>
  </si>
  <si>
    <t>CF Tier Two</t>
  </si>
  <si>
    <t>CM Tier One</t>
  </si>
  <si>
    <t>CM Tier Two</t>
  </si>
  <si>
    <t>Average</t>
  </si>
  <si>
    <t>Charitable Fund Reserve</t>
  </si>
  <si>
    <t>Charitable Donation Reserve - charge to P&amp;L</t>
  </si>
  <si>
    <t>TOTALS</t>
  </si>
  <si>
    <t>INCOME STATEMENT</t>
  </si>
  <si>
    <t>ILLUSTRATION OF RETURNS</t>
  </si>
  <si>
    <t xml:space="preserve">NET PROFIT/(LOSS) on Administration Fees </t>
  </si>
  <si>
    <r>
      <t xml:space="preserve">Number Customers joining Plan (commit to pay Facility Fee) </t>
    </r>
    <r>
      <rPr>
        <b/>
        <sz val="8"/>
        <color theme="4"/>
        <rFont val="Arial"/>
        <family val="2"/>
      </rPr>
      <t xml:space="preserve"> </t>
    </r>
  </si>
  <si>
    <t>EXITS (Basis for Agents Success Fee)</t>
  </si>
  <si>
    <t>Agents Success Fee (paid per EXIT)</t>
  </si>
  <si>
    <t>LTV</t>
  </si>
  <si>
    <t>Average LTV</t>
  </si>
  <si>
    <t>Facility Fee (percentage LTV)</t>
  </si>
  <si>
    <t>Retained Facility Fees</t>
  </si>
  <si>
    <t>Number Loan Offers Made</t>
  </si>
  <si>
    <t>Number of Loan Offers Made (from above)</t>
  </si>
  <si>
    <t>TOTAL Facility Fees (Subject to NOT collecting OFF-MARKETS; reputational risk)</t>
  </si>
  <si>
    <t xml:space="preserve">Average Gross Profit per NON-EXIT House Sale </t>
  </si>
  <si>
    <t xml:space="preserve">Number split into TIERS </t>
  </si>
  <si>
    <t xml:space="preserve">CHAIN FREE MODULE </t>
  </si>
  <si>
    <t>CHAIN FREE NUMBER FLOW</t>
  </si>
  <si>
    <t>CHAIN MENDER MODULE</t>
  </si>
  <si>
    <t>CHAIN MENDER NUMBER FLOW</t>
  </si>
  <si>
    <t>CHAIN MENDER NON-EXIT MODEL</t>
  </si>
  <si>
    <t>Percentage Profit (retained by Albani)</t>
  </si>
  <si>
    <t>Average Net Profit per NON-EXIT House Sale</t>
  </si>
  <si>
    <t xml:space="preserve">CHAIN FREE NON-EXIT HOUSE SALE MODEL (Based on RICS Valuation) </t>
  </si>
  <si>
    <t xml:space="preserve">TOTAL Administration Fees PAID </t>
  </si>
  <si>
    <t>Administration Fees REFUNDED (Customer decided NOT to proceed during "cooling off" period)</t>
  </si>
  <si>
    <t xml:space="preserve">Total Cost to Albani of  Applications  </t>
  </si>
  <si>
    <t>Number of Applications (each one gets a free DataSource)</t>
  </si>
  <si>
    <r>
      <t>Application Cost (cost to Albani of DataSource)</t>
    </r>
    <r>
      <rPr>
        <b/>
        <sz val="8"/>
        <color rgb="FFFF0000"/>
        <rFont val="Arial"/>
        <family val="2"/>
      </rPr>
      <t xml:space="preserve"> </t>
    </r>
  </si>
  <si>
    <t>Net Administration Fees Received (Number RICS)</t>
  </si>
  <si>
    <t xml:space="preserve">Cost to Albani per RICS </t>
  </si>
  <si>
    <t xml:space="preserve">Number RICS  </t>
  </si>
  <si>
    <t>Number of RICS still in play</t>
  </si>
  <si>
    <t>OFF-MARKETS</t>
  </si>
  <si>
    <t>NON-EXITS (Draw-downs)</t>
  </si>
  <si>
    <t>Loan Offers Made</t>
  </si>
  <si>
    <r>
      <t>Number of Applicati</t>
    </r>
    <r>
      <rPr>
        <b/>
        <sz val="8"/>
        <color theme="1"/>
        <rFont val="Arial"/>
        <family val="2"/>
      </rPr>
      <t>ons Upgrading (DataSource to RICS;  to Upgrade they MUST first pay Administration Fee)</t>
    </r>
  </si>
  <si>
    <t>Total NON-EXITS (Customer takes the Loan Offer)</t>
  </si>
  <si>
    <t>Total Loan Offers Made</t>
  </si>
  <si>
    <t>Total NON-EXITS (Draw-downs)</t>
  </si>
  <si>
    <t xml:space="preserve">LTV </t>
  </si>
  <si>
    <t>Average Loan Offer</t>
  </si>
  <si>
    <t>Number Loan Offers</t>
  </si>
  <si>
    <t xml:space="preserve">Administration Fees PAID (Potential number RICS)  </t>
  </si>
  <si>
    <t>Percentage "rejected" RICS (After RICS Albani decides NOT to make Loan Offer; Administration Fee RETURNED to Customer)</t>
  </si>
  <si>
    <t>Average House Price (assume  Average RICS)</t>
  </si>
  <si>
    <t>Number of Loan Offers Made</t>
  </si>
  <si>
    <t xml:space="preserve">Average House Price </t>
  </si>
  <si>
    <t xml:space="preserve">Number interested in upgrade from DataSource to RICS </t>
  </si>
  <si>
    <t>Number potential RICS  (Administration Fee PAID)</t>
  </si>
  <si>
    <t>PercentageApplications NOT proceeding (not interested in either CHAIN FREE or CHAIN MENDER)</t>
  </si>
  <si>
    <t>Admininistration Fee (Paid by customer to cover Albani cost of RICS)</t>
  </si>
  <si>
    <t>Customer interested in upgrade from DataSource to RICS (must first pay Administration Fee)</t>
  </si>
  <si>
    <t>Investor Share</t>
  </si>
  <si>
    <t>Investor Dividend (Year 1)</t>
  </si>
  <si>
    <t>Investor Dividend (Year 2)</t>
  </si>
  <si>
    <t xml:space="preserve">Estate Agent Targets  </t>
  </si>
  <si>
    <t>Number of DataSource</t>
  </si>
  <si>
    <t>Total Administration Fee Income</t>
  </si>
  <si>
    <t>Administration Fees Refunded</t>
  </si>
  <si>
    <t>RICS costs</t>
  </si>
  <si>
    <t>DataSource Costs</t>
  </si>
  <si>
    <t>Profit/(Loss) on Administration Fee Stage</t>
  </si>
  <si>
    <t>RETAINED Facility Fees (CHAIN FREE ONLY)</t>
  </si>
  <si>
    <t>Agents Success Fees (Charged to EXITS)</t>
  </si>
  <si>
    <t>NON-EXIT HOUSE Sales</t>
  </si>
  <si>
    <t>Year 2 (As Year 1 but add back set-up costs)</t>
  </si>
  <si>
    <t>Corporation Tax (Revised Year 2)</t>
  </si>
  <si>
    <t>Balance Percentage Applying for CHAIN MENDER</t>
  </si>
  <si>
    <t>START POINT = Number of Enquiries (each gets a free Data Source)</t>
  </si>
  <si>
    <t>Percentage Applications NOT proceeding (not interested in CHAIN FREE or CHAIN MENDER)</t>
  </si>
  <si>
    <t>Average NON-EXIT Selling Price (percentage of RICS)</t>
  </si>
  <si>
    <t xml:space="preserve">Average NON-EXIT LTV  </t>
  </si>
  <si>
    <t>Average NON-EXIT House Price (Average RICS Valuation)</t>
  </si>
  <si>
    <t>Average NON-EXIT House Selling Price</t>
  </si>
  <si>
    <t>Average NON-EXIT  LTV</t>
  </si>
  <si>
    <t>Average Net Profit per NON-EXITHouse Sale</t>
  </si>
  <si>
    <t>Profits from CHAIN MENDER NON-EXIT Sales (kept by Albani)</t>
  </si>
  <si>
    <t>Profits from CHAIN FREE NON-EXIT Sales (kept by Albani)</t>
  </si>
  <si>
    <t>OFF-MARKETS (Customer decides to stay in house)</t>
  </si>
  <si>
    <t xml:space="preserve">EXITS (do NOT Draw-down) </t>
  </si>
  <si>
    <t>Agents Sale Fee (per NON-EXIT House)</t>
  </si>
  <si>
    <t>Average NON-EXIT Selling Price TIER ONE</t>
  </si>
  <si>
    <t>LTV TIER ONE</t>
  </si>
  <si>
    <t>Average House Price LTV TIER TWO</t>
  </si>
  <si>
    <t>Average LTV TIER ONE</t>
  </si>
  <si>
    <t>Average NON-EXIT Selling Price TIER TWO</t>
  </si>
  <si>
    <t>LTV TIER TWO</t>
  </si>
  <si>
    <t>Admininistration Fee paid by customer (to cover Albani cost of RICS)</t>
  </si>
  <si>
    <t>COLLABORATION FACILITY/DEBT GUESSES</t>
  </si>
  <si>
    <t>Minimum Target per Estate Agent Responding</t>
  </si>
  <si>
    <t xml:space="preserve">Year 2 Simple Return (based ONLY on Facility provided) </t>
  </si>
  <si>
    <t>Customer does NOT proceed (Cost of Administration Fee is too high)</t>
  </si>
  <si>
    <t>Number of Administration Fees NOT Paid (Cooling off period then Returned)</t>
  </si>
  <si>
    <t>CORE PROPOSITION</t>
  </si>
  <si>
    <t>Company Investment Required to Cover Set Up and Overheads</t>
  </si>
  <si>
    <t>Illustrative Debt Facility of Non-Exit Funds Outstanding (20-weeks)</t>
  </si>
  <si>
    <t>Investment required to finance Business</t>
  </si>
  <si>
    <t xml:space="preserve">Year 2 Simple Return (based on financing package) </t>
  </si>
  <si>
    <t xml:space="preserve">CF TIER One </t>
  </si>
  <si>
    <r>
      <t>Therefore: at any point in time say one-third of draw-down money is outstanding</t>
    </r>
    <r>
      <rPr>
        <b/>
        <sz val="8"/>
        <rFont val="Arial"/>
        <family val="2"/>
      </rPr>
      <t xml:space="preserve"> </t>
    </r>
  </si>
  <si>
    <t>CORE PROPOSITION WORKINGS</t>
  </si>
  <si>
    <t>STRESS ONE WORKINGS</t>
  </si>
  <si>
    <t>STRESS TWO WORKINGS</t>
  </si>
  <si>
    <t>Percentage Applications NOT proceeding (not interested in CF or CM)</t>
  </si>
  <si>
    <t>Average House Price per TIER One (CF / CM)</t>
  </si>
  <si>
    <t>Average House Price per TIER Two (CF / CM)</t>
  </si>
  <si>
    <t>LTV Factor Applied TIER One (CF / CM)</t>
  </si>
  <si>
    <t>LTV Factor Applied TIER Two (CF / CM)</t>
  </si>
  <si>
    <t>KEY ASSUMPTION INPUTS</t>
  </si>
  <si>
    <t>Average NON-EXIT Selling Price (percentage of RICS) (CF / CM)</t>
  </si>
  <si>
    <t>Ratio of Exits : NON EXITS (CF / CM)</t>
  </si>
  <si>
    <t>CORE</t>
  </si>
  <si>
    <t>Enter 94% for 5 : 1       Enter 80% for 4 : 1         Enter 75% for 3 : 1         Enter 0% for ALL NON_EXITS</t>
  </si>
  <si>
    <t>Percentage Requesting CHAIN FREE</t>
  </si>
  <si>
    <t>OFF-MARKETS (OL SO IF NOT APPLICABLE MAKE ZERO AND HIDE LINE ???</t>
  </si>
  <si>
    <t>Loan Offers Made And Accepted</t>
  </si>
  <si>
    <t>RICS Valuations on DRAW DOWNS</t>
  </si>
  <si>
    <t>RICS Valuations of NON-EXITS</t>
  </si>
  <si>
    <t>MAX RICS</t>
  </si>
  <si>
    <t>MAX LTV</t>
  </si>
  <si>
    <t>Number of NON-EXITS</t>
  </si>
  <si>
    <t>LTV % to RICS =</t>
  </si>
  <si>
    <t>SUMMARY STATEMENT</t>
  </si>
  <si>
    <t>Indicative Overheads (a)</t>
  </si>
  <si>
    <t>Office Costs (b)</t>
  </si>
  <si>
    <t>Set-up Costs (Write-off to P&amp;L in Year 1 only) (c)</t>
  </si>
  <si>
    <t>Company Investment Required (a + b + c)</t>
  </si>
  <si>
    <t>Percentage TIER ONE customers (Balance goes into TIER TWO)</t>
  </si>
  <si>
    <t>Number of Estate Agent Offices</t>
  </si>
  <si>
    <t>Number of Estate Agent Offices Responding</t>
  </si>
  <si>
    <r>
      <t>CHAIN MENDER</t>
    </r>
    <r>
      <rPr>
        <b/>
        <sz val="8"/>
        <rFont val="Arial"/>
        <family val="2"/>
      </rPr>
      <t xml:space="preserve"> (Customers do NOT join Plan; ALL NON-EXITS)</t>
    </r>
  </si>
  <si>
    <t>Number of Applications (each one gets a FREE DataSource)</t>
  </si>
  <si>
    <t>Balance number Applications for CHAIN MENDER (each one gets a FREE DataSource)</t>
  </si>
  <si>
    <t xml:space="preserve"> Success Fee (paid to Estate Agent per EXIT)</t>
  </si>
  <si>
    <t>Percentage Profit NON-EXITS retained by Company (CHAIN FREE LTV to Sale Price; CHAIN MENDER LTV to RICS)</t>
  </si>
  <si>
    <t>Number of Administration Fees NOT Paid (Cooling off; Administration Fee RETURNED)</t>
  </si>
  <si>
    <t>EXIT: NON-EXIT RATIO         Enter 94% for 5 : 1       Enter 80% for 4 : 1         Enter 75% for 3 : 1         Enter 0% for ALL NON-EXITS</t>
  </si>
  <si>
    <t>Estate Agent Resale Fee (per NON-EXIT House)</t>
  </si>
  <si>
    <t>Estate Agent Resale Fee (per NON-EXIT)</t>
  </si>
  <si>
    <t>START POINT = Number of Enquiries (each gets a FREE DataSource)</t>
  </si>
  <si>
    <t>Percentage TIER ONE customers joining Plan  (Balance goes into TIER TWO) (ALL COMMIT to pay Facility Fee)</t>
  </si>
  <si>
    <t>Customer does NOT proceed (Cost of Administration Fee too high)</t>
  </si>
  <si>
    <t>DataSource cost</t>
  </si>
  <si>
    <t xml:space="preserve"> DataSource cost</t>
  </si>
  <si>
    <t>RICS cost</t>
  </si>
  <si>
    <t>Percentage "rejected" RICS (Albani decides NOT to make Loan Offer; Administration Fee RETURNED)</t>
  </si>
  <si>
    <t>Average House Price (current Market Value/same as RICS) per TIER One</t>
  </si>
  <si>
    <t>Average House price (current Market Values/same as RICS) per TIER Two</t>
  </si>
  <si>
    <t>Average House Price (current Market Value/same as RICS) TIER ONE</t>
  </si>
  <si>
    <t>Average House Price (current Market Value/same as RICS) TIER TWO</t>
  </si>
  <si>
    <r>
      <t xml:space="preserve">CHAIN FREE </t>
    </r>
    <r>
      <rPr>
        <b/>
        <sz val="8"/>
        <color theme="1"/>
        <rFont val="Arial"/>
        <family val="2"/>
      </rPr>
      <t>(Customers MUST join Home Owners Plan)</t>
    </r>
  </si>
  <si>
    <t>Membership Fee (percentage LTV only payable by CHAIN FREE Customers who MUST join Plan)</t>
  </si>
  <si>
    <t>NON-EXIT Costs per NON-EXIT House</t>
  </si>
  <si>
    <t xml:space="preserve"> NON-EXIT Costs per NON-EXIT House</t>
  </si>
  <si>
    <t>NIC</t>
  </si>
  <si>
    <t>URP premium:150 days av premium £201K &gt; £750K = £258 say £300</t>
  </si>
  <si>
    <t>Energy:  5 months x £111pm</t>
  </si>
  <si>
    <t>Council Tax: 5 months x £211pm</t>
  </si>
  <si>
    <t xml:space="preserve">TT at draw-down:1 Electronic transfer of Finance from Albani to clients solicitor </t>
  </si>
  <si>
    <t xml:space="preserve">Refreshment:: Humphrey &amp; Gray 1 visit </t>
  </si>
  <si>
    <t xml:space="preserve">Garden Maintenance: 5 visits x £95 </t>
  </si>
  <si>
    <t>Water: 5 months x £36pm</t>
  </si>
  <si>
    <t>Sales Particulars/Brouchure:</t>
  </si>
  <si>
    <t>Contingency: 38%</t>
  </si>
  <si>
    <t>Financial Mod: Trevor Norris - Revisions and funder conversations</t>
  </si>
  <si>
    <t xml:space="preserve">Accountant: RSM - Structure for funding  </t>
  </si>
  <si>
    <t xml:space="preserve">Accounting Software: Access/Dimensions </t>
  </si>
  <si>
    <t xml:space="preserve">Accountant::RSM -  Integration of Dimensions </t>
  </si>
  <si>
    <t xml:space="preserve">Surveyors Platform: Pure </t>
  </si>
  <si>
    <t>Solicitors: Blake Morgan - Facility Term Sheet</t>
  </si>
  <si>
    <t xml:space="preserve">Solicitors: Blake Morgan - Finance and Funding Agreements 2 x £4,000                                                                    </t>
  </si>
  <si>
    <t>Solicitors: Blake Morgan - Marketing/point of sale material/website text</t>
  </si>
  <si>
    <t xml:space="preserve">Solicitors: Blake Morgan - Say 5 on-line Customer Docs x £4,000                                                    </t>
  </si>
  <si>
    <t>Risk: Perils</t>
  </si>
  <si>
    <t>Contingency 5% say</t>
  </si>
  <si>
    <t>PA to Anthony Apponyi</t>
  </si>
  <si>
    <t xml:space="preserve">Rent: Serviced Offices - Suite for 4 @ £1,200 pm </t>
  </si>
  <si>
    <t>URP: Reich Annual Fee</t>
  </si>
  <si>
    <t>Payment Processing: Annual Fee</t>
  </si>
  <si>
    <t>Electronic Document Exchange and Signitures: say £199 pm per 750 envelopes pm  x 2</t>
  </si>
  <si>
    <t xml:space="preserve">Telephone </t>
  </si>
  <si>
    <t xml:space="preserve">Accounting Software Licence </t>
  </si>
  <si>
    <t xml:space="preserve">Regulatory Fees  </t>
  </si>
  <si>
    <t xml:space="preserve">Accountancy: Audit </t>
  </si>
  <si>
    <t xml:space="preserve">Solicitors: General Legal Advice </t>
  </si>
  <si>
    <t xml:space="preserve">IT support   </t>
  </si>
  <si>
    <t xml:space="preserve">Travelling </t>
  </si>
  <si>
    <t xml:space="preserve">Marketing: B2B2C £8,500 pm </t>
  </si>
  <si>
    <t>Marketing: B2C £3,500 pm</t>
  </si>
  <si>
    <t xml:space="preserve">Risk: LA Price Movements </t>
  </si>
  <si>
    <t xml:space="preserve">Licenenced Conveyancer </t>
  </si>
  <si>
    <t>Accountant</t>
  </si>
  <si>
    <t xml:space="preserve">NIC  </t>
  </si>
  <si>
    <t>Board (Exec and Non-Exec)</t>
  </si>
  <si>
    <t>CEO: Anthony Apponyi - Profit Share no Fee</t>
  </si>
  <si>
    <t>NIL</t>
  </si>
  <si>
    <t>PR: £2,000 pm</t>
  </si>
  <si>
    <t xml:space="preserve">Marketing: B2B2C Agent remote training £3,000 pm </t>
  </si>
  <si>
    <t>Staff employment agency fees 20% (£9,000 + £9,000 + £8,000)</t>
  </si>
  <si>
    <t xml:space="preserve">Solicitors: Blake Norgan - Misc  </t>
  </si>
  <si>
    <t>IT Development: Paul Jervis £18,000 + £25,000</t>
  </si>
  <si>
    <t>TwentyCi Consultancy</t>
  </si>
  <si>
    <t>BURN COVER AND GROWTH</t>
  </si>
  <si>
    <t>Contingency say 5%</t>
  </si>
  <si>
    <t xml:space="preserve">PI insurance: Required to remove FCA 16 Feb 2024 Restriction </t>
  </si>
  <si>
    <t>Misc Fees: ICO + IBE + OPDO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</si>
</sst>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Red]\(#,##0\)"/>
    <numFmt numFmtId="165" formatCode="0%\ ;[Red]\(0%\)"/>
    <numFmt numFmtId="166" formatCode="_-[$£-809]* #,##0_-;\-[$£-809]* #,##0_-;_-[$£-809]* &quot;-&quot;??_-;_-@_-"/>
    <numFmt numFmtId="167" formatCode="0.00%\ ;[Red]\(0.00%\)"/>
    <numFmt numFmtId="168" formatCode="&quot;£&quot;#,##0\ ;[Red]\(&quot;£&quot;#,##0\)"/>
    <numFmt numFmtId="169" formatCode="\£#,##0;[Red]&quot;-£&quot;#,##0"/>
    <numFmt numFmtId="170" formatCode="#,##0\ ;\(#,##0\)"/>
    <numFmt numFmtId="171" formatCode="_-* #,##0_-;\-* #,##0_-;_-* &quot;-&quot;??_-;_-@_-"/>
  </numFmts>
  <fonts count="26" x14ac:knownFonts="1">
    <font>
      <sz val="11"/>
      <color theme="1"/>
      <name val="Calibri"/>
      <family val="2"/>
      <scheme val="minor"/>
    </font>
    <font>
      <b/>
      <sz val="8"/>
      <name val="Arial"/>
      <family val="2"/>
    </font>
    <font>
      <sz val="8"/>
      <name val="Arial"/>
      <family val="2"/>
    </font>
    <font>
      <b/>
      <sz val="10"/>
      <color rgb="FF0070C0"/>
      <name val="Arial"/>
      <family val="2"/>
    </font>
    <font>
      <sz val="11"/>
      <color rgb="FFFF0000"/>
      <name val="Calibri"/>
      <family val="2"/>
      <scheme val="minor"/>
    </font>
    <font>
      <b/>
      <sz val="8"/>
      <color rgb="FFFF0000"/>
      <name val="Arial"/>
      <family val="2"/>
    </font>
    <font>
      <sz val="8"/>
      <color theme="1"/>
      <name val="Arial"/>
      <family val="2"/>
    </font>
    <font>
      <sz val="8"/>
      <color rgb="FFFF0000"/>
      <name val="Arial"/>
      <family val="2"/>
    </font>
    <font>
      <b/>
      <sz val="11"/>
      <color rgb="FFFF0000"/>
      <name val="Calibri"/>
      <family val="2"/>
      <scheme val="minor"/>
    </font>
    <font>
      <sz val="8"/>
      <color rgb="FFFF0000"/>
      <name val="Calibri"/>
      <family val="2"/>
      <scheme val="minor"/>
    </font>
    <font>
      <b/>
      <sz val="10"/>
      <name val="Arial"/>
      <family val="2"/>
    </font>
    <font>
      <b/>
      <sz val="8"/>
      <color theme="1"/>
      <name val="Arial"/>
      <family val="2"/>
    </font>
    <font>
      <sz val="8"/>
      <color theme="1"/>
      <name val="Calibri"/>
      <family val="2"/>
      <scheme val="minor"/>
    </font>
    <font>
      <b/>
      <sz val="8"/>
      <color rgb="FF0070C0"/>
      <name val="Arial"/>
      <family val="2"/>
    </font>
    <font>
      <sz val="11"/>
      <color theme="1"/>
      <name val="Calibri"/>
      <family val="2"/>
      <scheme val="minor"/>
    </font>
    <font>
      <b/>
      <sz val="10"/>
      <color rgb="FFFF0000"/>
      <name val="Arial"/>
      <family val="2"/>
    </font>
    <font>
      <b/>
      <sz val="12"/>
      <color rgb="FF7030A0"/>
      <name val="Arial"/>
      <family val="2"/>
    </font>
    <font>
      <sz val="8"/>
      <name val="Calibri"/>
      <family val="2"/>
      <scheme val="minor"/>
    </font>
    <font>
      <sz val="6"/>
      <color theme="1"/>
      <name val="Arial"/>
      <family val="2"/>
    </font>
    <font>
      <b/>
      <i/>
      <sz val="8"/>
      <color rgb="FFFF0000"/>
      <name val="Arial"/>
      <family val="2"/>
    </font>
    <font>
      <b/>
      <sz val="8"/>
      <color theme="4"/>
      <name val="Arial"/>
      <family val="2"/>
    </font>
    <font>
      <b/>
      <i/>
      <sz val="8"/>
      <name val="Arial"/>
      <family val="2"/>
    </font>
    <font>
      <b/>
      <sz val="8"/>
      <color theme="1"/>
      <name val="Calibri"/>
      <family val="2"/>
      <scheme val="minor"/>
    </font>
    <font>
      <b/>
      <sz val="11"/>
      <color theme="1"/>
      <name val="Calibri"/>
      <family val="2"/>
      <scheme val="minor"/>
    </font>
    <font>
      <sz val="7"/>
      <color theme="1"/>
      <name val="Arial"/>
      <family val="2"/>
    </font>
    <font>
      <b/>
      <sz val="7"/>
      <name val="Arial"/>
      <family val="2"/>
    </font>
  </fonts>
  <fills count="1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13"/>
        <bgColor indexed="51"/>
      </patternFill>
    </fill>
    <fill>
      <patternFill patternType="solid">
        <fgColor theme="0"/>
        <bgColor indexed="64"/>
      </patternFill>
    </fill>
    <fill>
      <patternFill patternType="solid">
        <fgColor theme="0"/>
        <bgColor indexed="51"/>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51"/>
      </patternFill>
    </fill>
    <fill>
      <patternFill patternType="solid">
        <fgColor theme="9" tint="0.39997558519241921"/>
        <bgColor indexed="64"/>
      </patternFill>
    </fill>
  </fills>
  <borders count="12">
    <border>
      <left/>
      <right/>
      <top/>
      <bottom/>
      <diagonal/>
    </border>
    <border>
      <left/>
      <right/>
      <top style="thin">
        <color indexed="8"/>
      </top>
      <bottom/>
      <diagonal/>
    </border>
    <border>
      <left/>
      <right/>
      <top style="thin">
        <color indexed="8"/>
      </top>
      <bottom style="double">
        <color indexed="8"/>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8"/>
      </left>
      <right/>
      <top/>
      <bottom/>
      <diagonal/>
    </border>
    <border>
      <left/>
      <right/>
      <top style="double">
        <color auto="1"/>
      </top>
      <bottom/>
      <diagonal/>
    </border>
    <border>
      <left/>
      <right/>
      <top style="double">
        <color auto="1"/>
      </top>
      <bottom style="double">
        <color auto="1"/>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149">
    <xf numFmtId="0" fontId="0" fillId="0" borderId="0" xfId="0"/>
    <xf numFmtId="164" fontId="1" fillId="0" borderId="0" xfId="0" applyNumberFormat="1" applyFont="1" applyAlignment="1">
      <alignment horizontal="right" vertical="center"/>
    </xf>
    <xf numFmtId="0" fontId="1" fillId="0" borderId="0" xfId="0" applyFont="1" applyAlignment="1">
      <alignment vertical="center"/>
    </xf>
    <xf numFmtId="164" fontId="1" fillId="0" borderId="1" xfId="0" applyNumberFormat="1" applyFont="1" applyBorder="1" applyAlignment="1">
      <alignment horizontal="right" vertical="center"/>
    </xf>
    <xf numFmtId="164" fontId="1" fillId="0" borderId="2" xfId="0" applyNumberFormat="1" applyFont="1" applyBorder="1" applyAlignment="1">
      <alignment horizontal="right" vertical="center"/>
    </xf>
    <xf numFmtId="164" fontId="1" fillId="2" borderId="0" xfId="0" applyNumberFormat="1" applyFont="1" applyFill="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1" fillId="4" borderId="0" xfId="0" applyFont="1" applyFill="1" applyAlignment="1">
      <alignment vertical="center"/>
    </xf>
    <xf numFmtId="0" fontId="0" fillId="4" borderId="0" xfId="0" applyFill="1"/>
    <xf numFmtId="164" fontId="1" fillId="4" borderId="0" xfId="0" applyNumberFormat="1" applyFont="1" applyFill="1" applyAlignment="1">
      <alignment horizontal="right" vertical="center"/>
    </xf>
    <xf numFmtId="166" fontId="1" fillId="0" borderId="0" xfId="0" applyNumberFormat="1" applyFont="1" applyAlignment="1">
      <alignment horizontal="right" vertical="center"/>
    </xf>
    <xf numFmtId="167" fontId="0" fillId="0" borderId="0" xfId="0" applyNumberFormat="1"/>
    <xf numFmtId="167" fontId="2" fillId="3" borderId="0" xfId="0" applyNumberFormat="1" applyFont="1" applyFill="1" applyAlignment="1">
      <alignment vertical="center"/>
    </xf>
    <xf numFmtId="164" fontId="0" fillId="0" borderId="0" xfId="0" applyNumberFormat="1"/>
    <xf numFmtId="168" fontId="1" fillId="2" borderId="0" xfId="0" applyNumberFormat="1" applyFont="1" applyFill="1" applyAlignment="1">
      <alignment horizontal="right" vertical="center"/>
    </xf>
    <xf numFmtId="168" fontId="1" fillId="0" borderId="0" xfId="0" applyNumberFormat="1" applyFont="1" applyAlignment="1">
      <alignment horizontal="right" vertical="center"/>
    </xf>
    <xf numFmtId="168" fontId="1" fillId="0" borderId="3" xfId="0" applyNumberFormat="1" applyFont="1" applyBorder="1" applyAlignment="1">
      <alignment horizontal="right" vertical="center"/>
    </xf>
    <xf numFmtId="168" fontId="1" fillId="0" borderId="4" xfId="0" applyNumberFormat="1" applyFont="1" applyBorder="1" applyAlignment="1">
      <alignment horizontal="right" vertical="center"/>
    </xf>
    <xf numFmtId="168" fontId="1" fillId="0" borderId="5" xfId="0" applyNumberFormat="1" applyFont="1" applyBorder="1" applyAlignment="1">
      <alignment horizontal="right" vertical="center"/>
    </xf>
    <xf numFmtId="0" fontId="5" fillId="0" borderId="0" xfId="0" applyFont="1" applyAlignment="1">
      <alignment vertical="center"/>
    </xf>
    <xf numFmtId="0" fontId="0" fillId="0" borderId="0" xfId="0" applyAlignment="1">
      <alignment horizontal="center"/>
    </xf>
    <xf numFmtId="0" fontId="7" fillId="0" borderId="0" xfId="0" applyFont="1"/>
    <xf numFmtId="0" fontId="8" fillId="0" borderId="0" xfId="0" applyFont="1"/>
    <xf numFmtId="164" fontId="0" fillId="0" borderId="0" xfId="0" applyNumberFormat="1" applyAlignment="1">
      <alignment horizontal="right"/>
    </xf>
    <xf numFmtId="167" fontId="9" fillId="0" borderId="0" xfId="0" applyNumberFormat="1" applyFont="1" applyAlignment="1">
      <alignment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horizontal="right" vertical="center"/>
    </xf>
    <xf numFmtId="168" fontId="1" fillId="3" borderId="0" xfId="0" applyNumberFormat="1" applyFont="1" applyFill="1" applyAlignment="1">
      <alignment horizontal="right" vertical="center"/>
    </xf>
    <xf numFmtId="0" fontId="12" fillId="0" borderId="0" xfId="0" applyFont="1" applyAlignment="1">
      <alignment horizontal="right"/>
    </xf>
    <xf numFmtId="164" fontId="1" fillId="3" borderId="5" xfId="0" applyNumberFormat="1" applyFont="1" applyFill="1" applyBorder="1" applyAlignment="1">
      <alignment horizontal="right" vertical="center"/>
    </xf>
    <xf numFmtId="0" fontId="6" fillId="0" borderId="0" xfId="0" applyFont="1" applyAlignment="1">
      <alignment vertical="center"/>
    </xf>
    <xf numFmtId="0" fontId="3" fillId="0" borderId="0" xfId="0" applyFont="1" applyAlignment="1">
      <alignment horizontal="center" vertical="center"/>
    </xf>
    <xf numFmtId="164" fontId="1" fillId="3" borderId="0" xfId="0" applyNumberFormat="1" applyFont="1" applyFill="1" applyAlignment="1">
      <alignment vertical="center"/>
    </xf>
    <xf numFmtId="164" fontId="1" fillId="3" borderId="4" xfId="0" applyNumberFormat="1" applyFont="1" applyFill="1" applyBorder="1" applyAlignment="1">
      <alignment vertical="center"/>
    </xf>
    <xf numFmtId="0" fontId="3" fillId="5" borderId="0" xfId="0" applyFont="1" applyFill="1" applyAlignment="1">
      <alignment horizontal="right" vertical="center"/>
    </xf>
    <xf numFmtId="0" fontId="13" fillId="0" borderId="0" xfId="0" applyFont="1" applyAlignment="1">
      <alignment vertical="center"/>
    </xf>
    <xf numFmtId="0" fontId="1" fillId="0" borderId="0" xfId="0" quotePrefix="1" applyFont="1" applyAlignment="1">
      <alignment horizontal="center" vertical="center"/>
    </xf>
    <xf numFmtId="0" fontId="2" fillId="0" borderId="6" xfId="0" applyFont="1" applyBorder="1" applyProtection="1">
      <protection locked="0"/>
    </xf>
    <xf numFmtId="3" fontId="2" fillId="6" borderId="6" xfId="0" applyNumberFormat="1" applyFont="1" applyFill="1" applyBorder="1" applyAlignment="1" applyProtection="1">
      <alignment horizontal="center"/>
      <protection locked="0"/>
    </xf>
    <xf numFmtId="0" fontId="2" fillId="0" borderId="0" xfId="0" applyFont="1"/>
    <xf numFmtId="0" fontId="2" fillId="0" borderId="8" xfId="0" applyFont="1" applyBorder="1" applyProtection="1">
      <protection locked="0"/>
    </xf>
    <xf numFmtId="0" fontId="2" fillId="0" borderId="8" xfId="0" applyFont="1" applyBorder="1" applyAlignment="1" applyProtection="1">
      <alignment horizontal="left"/>
      <protection locked="0"/>
    </xf>
    <xf numFmtId="0" fontId="1" fillId="0" borderId="8" xfId="0" applyFont="1" applyBorder="1" applyAlignment="1">
      <alignment horizontal="left"/>
    </xf>
    <xf numFmtId="0" fontId="2" fillId="0" borderId="7" xfId="0" applyFont="1" applyBorder="1" applyProtection="1">
      <protection locked="0"/>
    </xf>
    <xf numFmtId="0" fontId="2" fillId="7" borderId="0" xfId="0" applyFont="1" applyFill="1"/>
    <xf numFmtId="0" fontId="2" fillId="0" borderId="6" xfId="0" applyFont="1" applyBorder="1" applyAlignment="1" applyProtection="1">
      <alignment horizontal="left"/>
      <protection locked="0"/>
    </xf>
    <xf numFmtId="169" fontId="2" fillId="0" borderId="6" xfId="0" applyNumberFormat="1" applyFont="1" applyBorder="1" applyAlignment="1" applyProtection="1">
      <alignment horizontal="left"/>
      <protection locked="0"/>
    </xf>
    <xf numFmtId="0" fontId="2" fillId="0" borderId="9" xfId="0" applyFont="1" applyBorder="1" applyProtection="1">
      <protection locked="0"/>
    </xf>
    <xf numFmtId="3" fontId="2" fillId="8" borderId="6" xfId="0" applyNumberFormat="1" applyFont="1" applyFill="1" applyBorder="1" applyAlignment="1" applyProtection="1">
      <alignment horizontal="left"/>
      <protection locked="0"/>
    </xf>
    <xf numFmtId="3" fontId="0" fillId="0" borderId="0" xfId="0" applyNumberFormat="1"/>
    <xf numFmtId="3" fontId="2" fillId="8" borderId="6" xfId="0" applyNumberFormat="1" applyFont="1" applyFill="1" applyBorder="1" applyAlignment="1" applyProtection="1">
      <alignment horizontal="center"/>
      <protection locked="0"/>
    </xf>
    <xf numFmtId="3" fontId="2" fillId="7" borderId="6" xfId="0" applyNumberFormat="1" applyFont="1" applyFill="1" applyBorder="1" applyAlignment="1">
      <alignment horizontal="center"/>
    </xf>
    <xf numFmtId="3" fontId="1" fillId="8" borderId="6" xfId="0" applyNumberFormat="1" applyFont="1" applyFill="1" applyBorder="1" applyAlignment="1" applyProtection="1">
      <alignment horizontal="center"/>
      <protection locked="0"/>
    </xf>
    <xf numFmtId="0" fontId="0" fillId="7" borderId="0" xfId="0" applyFill="1"/>
    <xf numFmtId="168" fontId="1" fillId="0" borderId="0" xfId="0" applyNumberFormat="1" applyFont="1" applyAlignment="1">
      <alignment vertical="center"/>
    </xf>
    <xf numFmtId="164" fontId="1" fillId="3" borderId="0" xfId="0" applyNumberFormat="1" applyFont="1" applyFill="1" applyAlignment="1">
      <alignment horizontal="right" vertical="center"/>
    </xf>
    <xf numFmtId="167" fontId="1" fillId="3" borderId="0" xfId="0" applyNumberFormat="1" applyFont="1" applyFill="1" applyAlignment="1">
      <alignment vertical="center"/>
    </xf>
    <xf numFmtId="170" fontId="1" fillId="0" borderId="0" xfId="0" applyNumberFormat="1" applyFont="1" applyAlignment="1">
      <alignment horizontal="right" vertical="center"/>
    </xf>
    <xf numFmtId="170" fontId="1" fillId="0" borderId="4" xfId="0" applyNumberFormat="1" applyFont="1" applyBorder="1" applyAlignment="1">
      <alignment horizontal="right" vertical="center"/>
    </xf>
    <xf numFmtId="170" fontId="1" fillId="0" borderId="3" xfId="0" applyNumberFormat="1" applyFont="1" applyBorder="1" applyAlignment="1">
      <alignment horizontal="right" vertical="center"/>
    </xf>
    <xf numFmtId="0" fontId="6" fillId="0" borderId="0" xfId="0" applyFont="1"/>
    <xf numFmtId="170" fontId="6" fillId="0" borderId="0" xfId="0" applyNumberFormat="1" applyFont="1"/>
    <xf numFmtId="0" fontId="16" fillId="0" borderId="0" xfId="0" applyFont="1" applyAlignment="1">
      <alignment vertical="center"/>
    </xf>
    <xf numFmtId="170" fontId="11" fillId="0" borderId="0" xfId="0" applyNumberFormat="1" applyFont="1" applyAlignment="1">
      <alignment horizontal="right" vertical="center" wrapText="1"/>
    </xf>
    <xf numFmtId="170" fontId="11" fillId="0" borderId="0" xfId="0" applyNumberFormat="1" applyFont="1" applyAlignment="1">
      <alignment horizontal="right" vertical="center"/>
    </xf>
    <xf numFmtId="170" fontId="11" fillId="0" borderId="0" xfId="0" quotePrefix="1" applyNumberFormat="1" applyFont="1" applyAlignment="1">
      <alignment horizontal="right" vertical="center"/>
    </xf>
    <xf numFmtId="170" fontId="11" fillId="0" borderId="5" xfId="0" applyNumberFormat="1" applyFont="1" applyBorder="1" applyAlignment="1">
      <alignment horizontal="right" vertical="center" wrapText="1"/>
    </xf>
    <xf numFmtId="10" fontId="1" fillId="0" borderId="5" xfId="1" applyNumberFormat="1" applyFont="1" applyFill="1" applyBorder="1" applyAlignment="1">
      <alignment horizontal="right" vertical="center"/>
    </xf>
    <xf numFmtId="167" fontId="5" fillId="3" borderId="0" xfId="0" applyNumberFormat="1" applyFont="1" applyFill="1" applyAlignment="1">
      <alignment vertical="center"/>
    </xf>
    <xf numFmtId="168" fontId="2" fillId="3" borderId="0" xfId="0" applyNumberFormat="1" applyFont="1" applyFill="1" applyAlignment="1">
      <alignment horizontal="right" vertical="center"/>
    </xf>
    <xf numFmtId="10" fontId="1" fillId="0" borderId="0" xfId="1" applyNumberFormat="1" applyFont="1" applyFill="1" applyAlignment="1">
      <alignment horizontal="right" vertical="center"/>
    </xf>
    <xf numFmtId="170" fontId="6" fillId="0" borderId="5" xfId="0" applyNumberFormat="1" applyFont="1" applyBorder="1"/>
    <xf numFmtId="0" fontId="6" fillId="9" borderId="0" xfId="0" applyFont="1" applyFill="1"/>
    <xf numFmtId="0" fontId="1" fillId="9" borderId="0" xfId="0" applyFont="1" applyFill="1" applyAlignment="1">
      <alignment vertical="center"/>
    </xf>
    <xf numFmtId="170" fontId="1" fillId="9" borderId="0" xfId="0" applyNumberFormat="1" applyFont="1" applyFill="1" applyAlignment="1">
      <alignment horizontal="right" vertical="center"/>
    </xf>
    <xf numFmtId="170" fontId="6" fillId="0" borderId="0" xfId="0" applyNumberFormat="1" applyFont="1" applyAlignment="1">
      <alignment vertical="center"/>
    </xf>
    <xf numFmtId="10" fontId="11" fillId="0" borderId="5" xfId="1" applyNumberFormat="1" applyFont="1" applyBorder="1" applyAlignment="1">
      <alignment vertical="center"/>
    </xf>
    <xf numFmtId="170" fontId="7" fillId="0" borderId="0" xfId="0" applyNumberFormat="1" applyFont="1"/>
    <xf numFmtId="168" fontId="5" fillId="2" borderId="0" xfId="0" applyNumberFormat="1" applyFont="1" applyFill="1" applyAlignment="1">
      <alignment horizontal="right" vertical="center"/>
    </xf>
    <xf numFmtId="167" fontId="5" fillId="2" borderId="0" xfId="0" applyNumberFormat="1" applyFont="1" applyFill="1" applyAlignment="1">
      <alignment vertical="center"/>
    </xf>
    <xf numFmtId="170" fontId="5" fillId="0" borderId="5" xfId="0" applyNumberFormat="1" applyFont="1" applyBorder="1" applyAlignment="1">
      <alignment horizontal="right" vertical="center"/>
    </xf>
    <xf numFmtId="168" fontId="5" fillId="3" borderId="0" xfId="0" applyNumberFormat="1" applyFont="1" applyFill="1" applyAlignment="1">
      <alignment horizontal="right" vertical="center"/>
    </xf>
    <xf numFmtId="0" fontId="15" fillId="0" borderId="0" xfId="0" applyFont="1" applyAlignment="1">
      <alignment vertical="center"/>
    </xf>
    <xf numFmtId="0" fontId="0" fillId="12" borderId="0" xfId="0" applyFill="1"/>
    <xf numFmtId="0" fontId="1" fillId="12" borderId="0" xfId="0" applyFont="1" applyFill="1" applyAlignment="1">
      <alignment vertical="center"/>
    </xf>
    <xf numFmtId="0" fontId="18" fillId="0" borderId="0" xfId="0" applyFont="1" applyAlignment="1">
      <alignment horizontal="center" vertical="center"/>
    </xf>
    <xf numFmtId="170" fontId="5" fillId="0" borderId="0" xfId="0" applyNumberFormat="1" applyFont="1" applyAlignment="1">
      <alignment horizontal="right" vertical="center"/>
    </xf>
    <xf numFmtId="170" fontId="5" fillId="0" borderId="4" xfId="0" applyNumberFormat="1" applyFont="1" applyBorder="1" applyAlignment="1">
      <alignment horizontal="right" vertical="center"/>
    </xf>
    <xf numFmtId="167" fontId="1" fillId="2" borderId="0" xfId="0" applyNumberFormat="1" applyFont="1" applyFill="1" applyAlignment="1">
      <alignment vertical="center"/>
    </xf>
    <xf numFmtId="165" fontId="2" fillId="3" borderId="0" xfId="0" applyNumberFormat="1" applyFont="1" applyFill="1" applyAlignment="1">
      <alignment vertical="center"/>
    </xf>
    <xf numFmtId="0" fontId="3" fillId="3" borderId="0" xfId="0" applyFont="1" applyFill="1" applyAlignment="1">
      <alignment horizontal="right" vertical="center"/>
    </xf>
    <xf numFmtId="164" fontId="1" fillId="3" borderId="5" xfId="0" applyNumberFormat="1" applyFont="1" applyFill="1" applyBorder="1" applyAlignment="1">
      <alignment vertical="center"/>
    </xf>
    <xf numFmtId="0" fontId="4" fillId="0" borderId="0" xfId="0" applyFont="1"/>
    <xf numFmtId="164" fontId="5" fillId="0" borderId="0" xfId="0" applyNumberFormat="1" applyFont="1" applyAlignment="1">
      <alignment vertical="center"/>
    </xf>
    <xf numFmtId="168" fontId="5" fillId="0" borderId="0" xfId="0" applyNumberFormat="1" applyFont="1" applyAlignment="1">
      <alignment horizontal="right" vertical="center"/>
    </xf>
    <xf numFmtId="164" fontId="5" fillId="0" borderId="0" xfId="0" applyNumberFormat="1" applyFont="1" applyAlignment="1">
      <alignment horizontal="right" vertical="center"/>
    </xf>
    <xf numFmtId="170" fontId="1" fillId="0" borderId="5" xfId="0" applyNumberFormat="1" applyFont="1" applyBorder="1" applyAlignment="1">
      <alignment horizontal="right" vertical="center" wrapText="1"/>
    </xf>
    <xf numFmtId="0" fontId="1" fillId="7" borderId="0" xfId="0" applyFont="1" applyFill="1" applyAlignment="1">
      <alignment vertical="center"/>
    </xf>
    <xf numFmtId="170" fontId="1" fillId="7" borderId="0" xfId="0" applyNumberFormat="1" applyFont="1" applyFill="1" applyAlignment="1">
      <alignment horizontal="right" vertical="center"/>
    </xf>
    <xf numFmtId="0" fontId="0" fillId="0" borderId="0" xfId="0" quotePrefix="1" applyAlignment="1">
      <alignment horizontal="right"/>
    </xf>
    <xf numFmtId="0" fontId="19" fillId="0" borderId="0" xfId="0" applyFont="1" applyAlignment="1">
      <alignment vertical="center"/>
    </xf>
    <xf numFmtId="0" fontId="21" fillId="0" borderId="0" xfId="0" applyFont="1" applyAlignment="1">
      <alignment vertical="center"/>
    </xf>
    <xf numFmtId="0" fontId="22" fillId="3" borderId="0" xfId="0" applyFont="1" applyFill="1" applyAlignment="1">
      <alignment horizontal="center" wrapText="1"/>
    </xf>
    <xf numFmtId="0" fontId="22" fillId="10" borderId="0" xfId="0" applyFont="1" applyFill="1" applyAlignment="1">
      <alignment horizontal="center"/>
    </xf>
    <xf numFmtId="0" fontId="22" fillId="11" borderId="0" xfId="0" applyFont="1" applyFill="1" applyAlignment="1">
      <alignment horizontal="center"/>
    </xf>
    <xf numFmtId="166" fontId="11" fillId="0" borderId="0" xfId="0" applyNumberFormat="1" applyFont="1" applyAlignment="1">
      <alignment horizontal="right" vertical="center" wrapText="1"/>
    </xf>
    <xf numFmtId="166" fontId="11" fillId="0" borderId="10" xfId="0" applyNumberFormat="1" applyFont="1" applyBorder="1" applyAlignment="1">
      <alignment horizontal="right" vertical="center" wrapText="1"/>
    </xf>
    <xf numFmtId="166" fontId="11" fillId="0" borderId="4" xfId="0" applyNumberFormat="1" applyFont="1" applyBorder="1" applyAlignment="1">
      <alignment horizontal="right" vertical="center" wrapText="1"/>
    </xf>
    <xf numFmtId="168" fontId="1" fillId="0" borderId="11" xfId="0" applyNumberFormat="1" applyFont="1" applyBorder="1" applyAlignment="1">
      <alignment horizontal="right" vertical="center"/>
    </xf>
    <xf numFmtId="0" fontId="24" fillId="0" borderId="0" xfId="0" applyFont="1"/>
    <xf numFmtId="0" fontId="25" fillId="10" borderId="0" xfId="0" applyFont="1" applyFill="1" applyAlignment="1">
      <alignment vertical="center"/>
    </xf>
    <xf numFmtId="170" fontId="25" fillId="0" borderId="0" xfId="0" applyNumberFormat="1" applyFont="1" applyAlignment="1">
      <alignment horizontal="right" vertical="center"/>
    </xf>
    <xf numFmtId="0" fontId="24" fillId="0" borderId="0" xfId="0" applyFont="1" applyAlignment="1">
      <alignment vertical="center"/>
    </xf>
    <xf numFmtId="171" fontId="25" fillId="10" borderId="0" xfId="2" applyNumberFormat="1" applyFont="1" applyFill="1" applyAlignment="1">
      <alignment vertical="center"/>
    </xf>
    <xf numFmtId="165" fontId="25" fillId="10" borderId="0" xfId="0" applyNumberFormat="1" applyFont="1" applyFill="1" applyAlignment="1">
      <alignment vertical="center"/>
    </xf>
    <xf numFmtId="168" fontId="25" fillId="10" borderId="0" xfId="0" applyNumberFormat="1" applyFont="1" applyFill="1" applyAlignment="1">
      <alignment horizontal="right" vertical="center"/>
    </xf>
    <xf numFmtId="167" fontId="25" fillId="10" borderId="0" xfId="0" applyNumberFormat="1" applyFont="1" applyFill="1" applyAlignment="1">
      <alignment horizontal="right" vertical="center"/>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164" fontId="1" fillId="0" borderId="5" xfId="0" applyNumberFormat="1" applyFont="1" applyBorder="1" applyAlignment="1">
      <alignment vertical="center"/>
    </xf>
    <xf numFmtId="166" fontId="11" fillId="0" borderId="5" xfId="0" applyNumberFormat="1" applyFont="1" applyBorder="1" applyAlignment="1">
      <alignment horizontal="right" vertical="center" wrapText="1"/>
    </xf>
    <xf numFmtId="167" fontId="21" fillId="15" borderId="0" xfId="0" applyNumberFormat="1" applyFont="1" applyFill="1" applyAlignment="1">
      <alignment vertical="center"/>
    </xf>
    <xf numFmtId="166" fontId="11" fillId="15" borderId="0" xfId="0" applyNumberFormat="1" applyFont="1" applyFill="1" applyAlignment="1">
      <alignment horizontal="right" vertical="center" wrapText="1"/>
    </xf>
    <xf numFmtId="170" fontId="11" fillId="15" borderId="0" xfId="0" applyNumberFormat="1" applyFont="1" applyFill="1" applyAlignment="1">
      <alignment horizontal="right" vertical="center"/>
    </xf>
    <xf numFmtId="164" fontId="1" fillId="4" borderId="0" xfId="0" applyNumberFormat="1" applyFont="1" applyFill="1" applyAlignment="1" applyProtection="1">
      <alignment horizontal="right" vertical="center"/>
      <protection locked="0"/>
    </xf>
    <xf numFmtId="167" fontId="1" fillId="4" borderId="0" xfId="0" applyNumberFormat="1" applyFont="1" applyFill="1" applyAlignment="1" applyProtection="1">
      <alignment vertical="center"/>
      <protection locked="0"/>
    </xf>
    <xf numFmtId="168" fontId="1" fillId="4" borderId="0" xfId="0" applyNumberFormat="1" applyFont="1" applyFill="1" applyAlignment="1" applyProtection="1">
      <alignment horizontal="right" vertical="center"/>
      <protection locked="0"/>
    </xf>
    <xf numFmtId="0" fontId="0" fillId="0" borderId="0" xfId="0" applyProtection="1">
      <protection locked="0"/>
    </xf>
    <xf numFmtId="0" fontId="2" fillId="0" borderId="0" xfId="0" applyFont="1" applyProtection="1">
      <protection locked="0"/>
    </xf>
    <xf numFmtId="3" fontId="2" fillId="2" borderId="6" xfId="0" applyNumberFormat="1" applyFont="1" applyFill="1" applyBorder="1" applyAlignment="1" applyProtection="1">
      <alignment horizontal="center"/>
      <protection locked="0"/>
    </xf>
    <xf numFmtId="0" fontId="2" fillId="7" borderId="0" xfId="0" applyFont="1" applyFill="1" applyProtection="1">
      <protection locked="0"/>
    </xf>
    <xf numFmtId="3" fontId="1" fillId="17" borderId="6" xfId="0" applyNumberFormat="1" applyFont="1" applyFill="1" applyBorder="1" applyAlignment="1">
      <alignment horizontal="center"/>
    </xf>
    <xf numFmtId="3" fontId="1" fillId="3" borderId="6" xfId="0" applyNumberFormat="1" applyFont="1" applyFill="1" applyBorder="1" applyAlignment="1">
      <alignment horizontal="center"/>
    </xf>
    <xf numFmtId="0" fontId="1" fillId="0" borderId="6" xfId="0" applyFont="1" applyBorder="1" applyAlignment="1">
      <alignment horizontal="left"/>
    </xf>
    <xf numFmtId="0" fontId="1" fillId="18" borderId="0" xfId="0" applyFont="1" applyFill="1" applyAlignment="1">
      <alignment vertical="center"/>
    </xf>
    <xf numFmtId="0" fontId="3" fillId="7" borderId="0" xfId="0" applyFont="1" applyFill="1" applyAlignment="1">
      <alignment vertical="center"/>
    </xf>
    <xf numFmtId="167" fontId="1" fillId="18" borderId="0" xfId="0" applyNumberFormat="1" applyFont="1" applyFill="1" applyAlignment="1" applyProtection="1">
      <alignment vertical="center"/>
      <protection locked="0"/>
    </xf>
    <xf numFmtId="170" fontId="11" fillId="3" borderId="0" xfId="0" applyNumberFormat="1" applyFont="1" applyFill="1" applyAlignment="1">
      <alignment horizontal="center" vertical="center"/>
    </xf>
    <xf numFmtId="170" fontId="11" fillId="15" borderId="0" xfId="0" applyNumberFormat="1" applyFont="1" applyFill="1" applyAlignment="1">
      <alignment horizontal="center" vertical="center"/>
    </xf>
    <xf numFmtId="170" fontId="11" fillId="16" borderId="0" xfId="0" applyNumberFormat="1" applyFont="1" applyFill="1" applyAlignment="1">
      <alignment horizontal="center" vertical="center"/>
    </xf>
    <xf numFmtId="0" fontId="23" fillId="13" borderId="0" xfId="0" applyFont="1" applyFill="1" applyAlignment="1">
      <alignment horizontal="center" vertical="center"/>
    </xf>
    <xf numFmtId="0" fontId="3" fillId="0" borderId="0" xfId="0" applyFont="1" applyAlignment="1">
      <alignment horizontal="center" vertical="center"/>
    </xf>
    <xf numFmtId="0" fontId="3" fillId="5" borderId="0" xfId="0" applyFont="1" applyFill="1" applyAlignment="1">
      <alignment horizontal="center" vertical="center"/>
    </xf>
    <xf numFmtId="0" fontId="3" fillId="3" borderId="0" xfId="0" applyFont="1" applyFill="1" applyAlignment="1">
      <alignment horizontal="center" vertical="center"/>
    </xf>
    <xf numFmtId="0" fontId="23" fillId="14" borderId="0" xfId="0" applyFont="1" applyFill="1" applyAlignment="1">
      <alignment horizontal="center" vertical="center"/>
    </xf>
    <xf numFmtId="0" fontId="23" fillId="16" borderId="0" xfId="0" applyFont="1" applyFill="1" applyAlignment="1">
      <alignment horizontal="center" vertical="center"/>
    </xf>
  </cellXfs>
  <cellStyles count="3">
    <cellStyle name="Comma" xfId="2" builtinId="3"/>
    <cellStyle name="Normal" xfId="0" builtinId="0"/>
    <cellStyle name="Percent" xfId="1" builtinId="5"/>
  </cellStyles>
  <dxfs count="218">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
      <numFmt numFmtId="172" formatCode="\-\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7BB0D-3C95-4309-B4C9-146FFA99C90E}">
  <sheetPr>
    <tabColor rgb="FFFFFF00"/>
    <pageSetUpPr fitToPage="1"/>
  </sheetPr>
  <dimension ref="A1:J88"/>
  <sheetViews>
    <sheetView zoomScale="115" zoomScaleNormal="115" workbookViewId="0">
      <pane ySplit="1" topLeftCell="A3" activePane="bottomLeft" state="frozen"/>
      <selection pane="bottomLeft" activeCell="D10" sqref="D10"/>
    </sheetView>
  </sheetViews>
  <sheetFormatPr defaultRowHeight="15" x14ac:dyDescent="0.25"/>
  <cols>
    <col min="1" max="1" width="12" bestFit="1" customWidth="1"/>
    <col min="2" max="2" width="88.85546875" customWidth="1"/>
    <col min="3" max="3" width="1.7109375" customWidth="1"/>
    <col min="4" max="4" width="12.7109375" customWidth="1"/>
    <col min="5" max="5" width="3.7109375" customWidth="1"/>
    <col min="6" max="6" width="12.7109375" customWidth="1"/>
    <col min="7" max="7" width="3.7109375" customWidth="1"/>
    <col min="8" max="8" width="12.7109375" customWidth="1"/>
  </cols>
  <sheetData>
    <row r="1" spans="1:8" ht="23.25" x14ac:dyDescent="0.25">
      <c r="D1" s="104" t="s">
        <v>179</v>
      </c>
      <c r="F1" s="105" t="s">
        <v>48</v>
      </c>
      <c r="H1" s="106" t="s">
        <v>49</v>
      </c>
    </row>
    <row r="2" spans="1:8" x14ac:dyDescent="0.25">
      <c r="A2" s="7" t="s">
        <v>37</v>
      </c>
      <c r="B2" s="7" t="s">
        <v>41</v>
      </c>
      <c r="C2" s="7"/>
    </row>
    <row r="3" spans="1:8" ht="20.100000000000001" customHeight="1" x14ac:dyDescent="0.25">
      <c r="A3" s="7"/>
      <c r="B3" s="2" t="s">
        <v>214</v>
      </c>
      <c r="C3" s="7"/>
      <c r="D3" s="5">
        <v>4000</v>
      </c>
      <c r="F3" s="5">
        <v>4000</v>
      </c>
      <c r="H3" s="5">
        <v>4000</v>
      </c>
    </row>
    <row r="4" spans="1:8" ht="20.100000000000001" customHeight="1" x14ac:dyDescent="0.25">
      <c r="A4" s="7"/>
      <c r="B4" s="137" t="s">
        <v>215</v>
      </c>
      <c r="C4" s="138"/>
      <c r="D4" s="139">
        <v>0.2</v>
      </c>
      <c r="F4" s="139">
        <v>0.15</v>
      </c>
      <c r="H4" s="139">
        <v>0.1</v>
      </c>
    </row>
    <row r="5" spans="1:8" ht="20.100000000000001" customHeight="1" x14ac:dyDescent="0.25">
      <c r="B5" s="2" t="s">
        <v>42</v>
      </c>
      <c r="C5" s="2"/>
      <c r="D5" s="90">
        <v>0.25</v>
      </c>
      <c r="F5" s="90">
        <v>0.25</v>
      </c>
      <c r="H5" s="90">
        <v>0.25</v>
      </c>
    </row>
    <row r="6" spans="1:8" ht="20.100000000000001" customHeight="1" x14ac:dyDescent="0.25">
      <c r="B6" s="2" t="s">
        <v>84</v>
      </c>
      <c r="C6" s="2"/>
      <c r="D6" s="90">
        <v>0.05</v>
      </c>
      <c r="F6" s="90">
        <v>0.05</v>
      </c>
      <c r="H6" s="90">
        <v>0.05</v>
      </c>
    </row>
    <row r="7" spans="1:8" ht="20.100000000000001" customHeight="1" x14ac:dyDescent="0.25">
      <c r="B7" s="8" t="s">
        <v>225</v>
      </c>
      <c r="C7" s="2"/>
      <c r="D7" s="127">
        <v>300</v>
      </c>
      <c r="F7" s="127">
        <v>300</v>
      </c>
      <c r="H7" s="127">
        <v>300</v>
      </c>
    </row>
    <row r="8" spans="1:8" ht="20.100000000000001" customHeight="1" x14ac:dyDescent="0.25">
      <c r="B8" s="8" t="s">
        <v>199</v>
      </c>
      <c r="C8" s="2"/>
      <c r="D8" s="128">
        <v>0.8</v>
      </c>
      <c r="F8" s="128">
        <v>0.8</v>
      </c>
      <c r="H8" s="128">
        <v>0.8</v>
      </c>
    </row>
    <row r="9" spans="1:8" ht="20.100000000000001" customHeight="1" x14ac:dyDescent="0.25">
      <c r="B9" s="2" t="s">
        <v>228</v>
      </c>
      <c r="C9" s="2"/>
      <c r="D9" s="15">
        <v>8</v>
      </c>
      <c r="F9" s="15">
        <v>8</v>
      </c>
      <c r="H9" s="15">
        <v>8</v>
      </c>
    </row>
    <row r="10" spans="1:8" ht="20.100000000000001" customHeight="1" x14ac:dyDescent="0.25">
      <c r="B10" s="8" t="s">
        <v>155</v>
      </c>
      <c r="C10" s="2"/>
      <c r="D10" s="128">
        <v>0.6</v>
      </c>
      <c r="F10" s="128">
        <v>0.65</v>
      </c>
      <c r="H10" s="128">
        <v>0.7</v>
      </c>
    </row>
    <row r="11" spans="1:8" ht="20.100000000000001" customHeight="1" x14ac:dyDescent="0.25">
      <c r="B11" s="2" t="s">
        <v>217</v>
      </c>
      <c r="C11" s="2"/>
      <c r="D11" s="57">
        <f>ROUND($D$7*$D$10,0)</f>
        <v>180</v>
      </c>
      <c r="F11" s="57">
        <f>ROUND($F$7*$F$10,0)</f>
        <v>195</v>
      </c>
      <c r="H11" s="57">
        <f>ROUND($H$7*$H$10,0)</f>
        <v>210</v>
      </c>
    </row>
    <row r="12" spans="1:8" ht="20.100000000000001" customHeight="1" x14ac:dyDescent="0.25">
      <c r="B12" s="2" t="s">
        <v>153</v>
      </c>
      <c r="C12" s="2"/>
      <c r="D12" s="58">
        <f>1-$D$10</f>
        <v>0.4</v>
      </c>
      <c r="F12" s="58">
        <f>1-$F$10</f>
        <v>0.35</v>
      </c>
      <c r="H12" s="58">
        <f>1-$H$10</f>
        <v>0.30000000000000004</v>
      </c>
    </row>
    <row r="13" spans="1:8" ht="20.100000000000001" customHeight="1" x14ac:dyDescent="0.25">
      <c r="B13" s="2" t="s">
        <v>218</v>
      </c>
      <c r="C13" s="2"/>
      <c r="D13" s="57">
        <f>$D$7-$D$11</f>
        <v>120</v>
      </c>
      <c r="F13" s="57">
        <f>$F$7-$F$11</f>
        <v>105</v>
      </c>
      <c r="H13" s="57">
        <f>$H$7-$H$11</f>
        <v>90</v>
      </c>
    </row>
    <row r="14" spans="1:8" ht="20.100000000000001" customHeight="1" x14ac:dyDescent="0.25">
      <c r="B14" s="8" t="s">
        <v>219</v>
      </c>
      <c r="C14" s="2"/>
      <c r="D14" s="129">
        <v>1000</v>
      </c>
      <c r="F14" s="129">
        <v>1000</v>
      </c>
      <c r="H14" s="129">
        <v>1000</v>
      </c>
    </row>
    <row r="15" spans="1:8" ht="20.100000000000001" hidden="1" customHeight="1" x14ac:dyDescent="0.25">
      <c r="B15" s="2" t="s">
        <v>180</v>
      </c>
      <c r="C15" s="2"/>
      <c r="D15" s="15">
        <v>1000000</v>
      </c>
      <c r="F15" s="15">
        <v>1000000</v>
      </c>
      <c r="H15" s="15">
        <v>1000000</v>
      </c>
    </row>
    <row r="16" spans="1:8" ht="20.100000000000001" customHeight="1" x14ac:dyDescent="0.25">
      <c r="A16" s="101"/>
      <c r="B16" s="8" t="s">
        <v>138</v>
      </c>
      <c r="C16" s="2"/>
      <c r="D16" s="128">
        <v>1</v>
      </c>
      <c r="F16" s="128">
        <v>1</v>
      </c>
      <c r="H16" s="128">
        <v>1</v>
      </c>
    </row>
    <row r="17" spans="1:8" ht="20.100000000000001" customHeight="1" x14ac:dyDescent="0.25">
      <c r="B17" s="2" t="s">
        <v>220</v>
      </c>
      <c r="C17" s="2"/>
      <c r="D17" s="90">
        <v>1</v>
      </c>
      <c r="F17" s="90">
        <v>1</v>
      </c>
      <c r="H17" s="90">
        <v>1</v>
      </c>
    </row>
    <row r="18" spans="1:8" ht="20.100000000000001" hidden="1" customHeight="1" x14ac:dyDescent="0.25">
      <c r="B18" s="2" t="s">
        <v>57</v>
      </c>
      <c r="C18" s="2"/>
      <c r="D18" s="90">
        <v>0.15</v>
      </c>
      <c r="F18" s="90">
        <v>0.15</v>
      </c>
      <c r="H18" s="90">
        <v>0.15</v>
      </c>
    </row>
    <row r="19" spans="1:8" ht="20.100000000000001" customHeight="1" x14ac:dyDescent="0.25">
      <c r="A19" s="7" t="s">
        <v>37</v>
      </c>
      <c r="B19" s="7" t="s">
        <v>236</v>
      </c>
      <c r="C19" s="7"/>
    </row>
    <row r="20" spans="1:8" ht="20.100000000000001" customHeight="1" x14ac:dyDescent="0.25">
      <c r="B20" s="8" t="s">
        <v>156</v>
      </c>
      <c r="C20" s="2"/>
      <c r="D20" s="128">
        <v>0.96</v>
      </c>
      <c r="F20" s="128">
        <v>0.95</v>
      </c>
      <c r="H20" s="128">
        <v>0.94</v>
      </c>
    </row>
    <row r="21" spans="1:8" ht="8.1" customHeight="1" x14ac:dyDescent="0.25">
      <c r="B21" s="2"/>
      <c r="C21" s="2"/>
      <c r="D21" s="2"/>
      <c r="E21" s="2"/>
      <c r="F21" s="2"/>
      <c r="G21" s="2"/>
      <c r="H21" s="2"/>
    </row>
    <row r="22" spans="1:8" ht="20.100000000000001" customHeight="1" x14ac:dyDescent="0.25">
      <c r="B22" s="8" t="s">
        <v>226</v>
      </c>
      <c r="C22" s="2"/>
      <c r="D22" s="128">
        <v>0.7</v>
      </c>
      <c r="E22" s="2"/>
      <c r="F22" s="128">
        <v>0.6</v>
      </c>
      <c r="G22" s="2"/>
      <c r="H22" s="128">
        <v>0.5</v>
      </c>
    </row>
    <row r="23" spans="1:8" ht="20.100000000000001" customHeight="1" x14ac:dyDescent="0.25">
      <c r="B23" s="2" t="s">
        <v>227</v>
      </c>
      <c r="C23" s="2"/>
      <c r="D23" s="90">
        <v>0.2</v>
      </c>
      <c r="E23" s="2"/>
      <c r="F23" s="90">
        <v>0.3</v>
      </c>
      <c r="G23" s="2"/>
      <c r="H23" s="90">
        <v>0.4</v>
      </c>
    </row>
    <row r="24" spans="1:8" ht="20.100000000000001" customHeight="1" x14ac:dyDescent="0.25">
      <c r="B24" s="2" t="s">
        <v>221</v>
      </c>
      <c r="C24" s="2"/>
      <c r="D24" s="90">
        <v>0.05</v>
      </c>
      <c r="E24" s="2"/>
      <c r="F24" s="90">
        <v>0.06</v>
      </c>
      <c r="G24" s="2"/>
      <c r="H24" s="90">
        <v>7.0000000000000007E-2</v>
      </c>
    </row>
    <row r="25" spans="1:8" ht="20.100000000000001" customHeight="1" x14ac:dyDescent="0.25">
      <c r="B25" s="2" t="s">
        <v>231</v>
      </c>
      <c r="C25" s="2"/>
      <c r="D25" s="90">
        <v>0.02</v>
      </c>
      <c r="E25" s="2"/>
      <c r="F25" s="90">
        <v>0.02</v>
      </c>
      <c r="G25" s="2"/>
      <c r="H25" s="90">
        <v>0.02</v>
      </c>
    </row>
    <row r="26" spans="1:8" ht="20.100000000000001" customHeight="1" x14ac:dyDescent="0.25">
      <c r="B26" s="2" t="s">
        <v>118</v>
      </c>
      <c r="C26" s="2"/>
      <c r="D26" s="90">
        <v>0.03</v>
      </c>
      <c r="E26" s="2"/>
      <c r="F26" s="90">
        <v>0.04</v>
      </c>
      <c r="G26" s="2"/>
      <c r="H26" s="90">
        <v>0.05</v>
      </c>
    </row>
    <row r="27" spans="1:8" ht="8.1" customHeight="1" x14ac:dyDescent="0.25">
      <c r="B27" s="2"/>
      <c r="C27" s="2"/>
      <c r="D27" s="2"/>
      <c r="E27" s="2"/>
      <c r="F27" s="2"/>
      <c r="G27" s="2"/>
      <c r="H27" s="2"/>
    </row>
    <row r="28" spans="1:8" ht="20.100000000000001" customHeight="1" x14ac:dyDescent="0.25">
      <c r="B28" s="8" t="s">
        <v>232</v>
      </c>
      <c r="C28" s="2"/>
      <c r="D28" s="129">
        <v>350000</v>
      </c>
      <c r="F28" s="129">
        <v>350000</v>
      </c>
      <c r="H28" s="129">
        <v>350000</v>
      </c>
    </row>
    <row r="29" spans="1:8" ht="20.100000000000001" customHeight="1" x14ac:dyDescent="0.25">
      <c r="B29" s="2" t="s">
        <v>36</v>
      </c>
      <c r="C29" s="2"/>
      <c r="D29" s="29">
        <f>ROUND($D$28*$D$20,0)</f>
        <v>336000</v>
      </c>
      <c r="F29" s="29">
        <f>ROUND($F$28*$F$20,0)</f>
        <v>332500</v>
      </c>
      <c r="H29" s="29">
        <f>ROUND($H$28*$H$20,0)</f>
        <v>329000</v>
      </c>
    </row>
    <row r="30" spans="1:8" ht="20.100000000000001" customHeight="1" x14ac:dyDescent="0.25">
      <c r="B30" s="2" t="s">
        <v>33</v>
      </c>
      <c r="C30" s="2"/>
      <c r="D30" s="90">
        <v>0.9</v>
      </c>
      <c r="F30" s="90">
        <v>0.9</v>
      </c>
      <c r="H30" s="90">
        <v>0.9</v>
      </c>
    </row>
    <row r="31" spans="1:8" ht="20.100000000000001" customHeight="1" x14ac:dyDescent="0.25">
      <c r="B31" s="2" t="s">
        <v>34</v>
      </c>
      <c r="C31" s="2"/>
      <c r="D31" s="29">
        <f>ROUND($D$28*$D$30,0)</f>
        <v>315000</v>
      </c>
      <c r="F31" s="29">
        <f>ROUND($F$28*$F$30,0)</f>
        <v>315000</v>
      </c>
      <c r="H31" s="29">
        <f>ROUND($H$28*$H$30,0)</f>
        <v>315000</v>
      </c>
    </row>
    <row r="32" spans="1:8" ht="9.9499999999999993" customHeight="1" x14ac:dyDescent="0.25">
      <c r="B32" s="2"/>
      <c r="C32" s="2"/>
      <c r="D32" s="2"/>
      <c r="E32" s="2"/>
      <c r="F32" s="2"/>
      <c r="G32" s="2"/>
      <c r="H32" s="2"/>
    </row>
    <row r="33" spans="1:8" ht="20.100000000000001" customHeight="1" x14ac:dyDescent="0.25">
      <c r="B33" s="8" t="s">
        <v>233</v>
      </c>
      <c r="C33" s="2"/>
      <c r="D33" s="129">
        <v>600000</v>
      </c>
      <c r="F33" s="129">
        <v>600000</v>
      </c>
      <c r="H33" s="129">
        <v>600000</v>
      </c>
    </row>
    <row r="34" spans="1:8" ht="20.100000000000001" customHeight="1" x14ac:dyDescent="0.25">
      <c r="B34" s="2" t="s">
        <v>46</v>
      </c>
      <c r="C34" s="2"/>
      <c r="D34" s="29">
        <f>ROUND($D$33*$D$20,0)</f>
        <v>576000</v>
      </c>
      <c r="F34" s="29">
        <f>ROUND($F$33*$F$20,0)</f>
        <v>570000</v>
      </c>
      <c r="H34" s="29">
        <f>ROUND($H$33*$H$20,0)</f>
        <v>564000</v>
      </c>
    </row>
    <row r="35" spans="1:8" ht="20.100000000000001" customHeight="1" x14ac:dyDescent="0.25">
      <c r="B35" s="2" t="s">
        <v>47</v>
      </c>
      <c r="C35" s="2"/>
      <c r="D35" s="90">
        <v>0.85</v>
      </c>
      <c r="F35" s="90">
        <v>0.85</v>
      </c>
      <c r="H35" s="90">
        <v>0.85</v>
      </c>
    </row>
    <row r="36" spans="1:8" ht="20.100000000000001" customHeight="1" x14ac:dyDescent="0.25">
      <c r="B36" s="2" t="s">
        <v>35</v>
      </c>
      <c r="C36" s="2"/>
      <c r="D36" s="29">
        <f>ROUND($D$33*$D$35,0)</f>
        <v>510000</v>
      </c>
      <c r="F36" s="29">
        <f>ROUND($F$33*$F$35,0)</f>
        <v>510000</v>
      </c>
      <c r="H36" s="29">
        <f>ROUND($H$33*$H$35,0)</f>
        <v>510000</v>
      </c>
    </row>
    <row r="37" spans="1:8" ht="9.9499999999999993" customHeight="1" x14ac:dyDescent="0.25">
      <c r="B37" s="2"/>
      <c r="C37" s="2"/>
      <c r="D37" s="2"/>
      <c r="E37" s="2"/>
      <c r="F37" s="2"/>
      <c r="G37" s="2"/>
      <c r="H37" s="2"/>
    </row>
    <row r="38" spans="1:8" ht="20.100000000000001" customHeight="1" x14ac:dyDescent="0.25">
      <c r="B38" s="2" t="s">
        <v>237</v>
      </c>
      <c r="C38" s="2"/>
      <c r="D38" s="90">
        <v>0.01</v>
      </c>
      <c r="F38" s="90">
        <v>0.01</v>
      </c>
      <c r="H38" s="90">
        <v>0.01</v>
      </c>
    </row>
    <row r="39" spans="1:8" ht="20.100000000000001" customHeight="1" x14ac:dyDescent="0.25">
      <c r="B39" s="8" t="s">
        <v>222</v>
      </c>
      <c r="C39" s="2"/>
      <c r="D39" s="128">
        <v>0.94</v>
      </c>
      <c r="F39" s="128">
        <v>0.8</v>
      </c>
      <c r="H39" s="128">
        <v>0.75</v>
      </c>
    </row>
    <row r="40" spans="1:8" ht="20.100000000000001" customHeight="1" x14ac:dyDescent="0.25">
      <c r="B40" s="2" t="s">
        <v>238</v>
      </c>
      <c r="C40" s="2"/>
      <c r="D40" s="15">
        <v>5284</v>
      </c>
      <c r="F40" s="15">
        <v>5284</v>
      </c>
      <c r="H40" s="15">
        <v>5284</v>
      </c>
    </row>
    <row r="41" spans="1:8" ht="20.100000000000001" customHeight="1" x14ac:dyDescent="0.25">
      <c r="B41" s="2" t="s">
        <v>223</v>
      </c>
      <c r="C41" s="2"/>
      <c r="D41" s="90">
        <v>1.4999999999999999E-2</v>
      </c>
      <c r="F41" s="90">
        <v>1.4999999999999999E-2</v>
      </c>
      <c r="H41" s="90">
        <v>1.4999999999999999E-2</v>
      </c>
    </row>
    <row r="42" spans="1:8" ht="9.9499999999999993" customHeight="1" x14ac:dyDescent="0.25">
      <c r="B42" s="2"/>
      <c r="C42" s="2"/>
      <c r="D42" s="2"/>
      <c r="E42" s="2"/>
      <c r="F42" s="2"/>
      <c r="G42" s="2"/>
      <c r="H42" s="2"/>
    </row>
    <row r="43" spans="1:8" ht="20.100000000000001" customHeight="1" x14ac:dyDescent="0.25">
      <c r="A43" s="7" t="s">
        <v>38</v>
      </c>
      <c r="B43" s="7" t="s">
        <v>216</v>
      </c>
      <c r="C43" s="7"/>
    </row>
    <row r="44" spans="1:8" ht="20.100000000000001" customHeight="1" x14ac:dyDescent="0.25">
      <c r="B44" s="8" t="s">
        <v>156</v>
      </c>
      <c r="C44" s="2"/>
      <c r="D44" s="128">
        <v>0.96</v>
      </c>
      <c r="F44" s="128">
        <v>0.95</v>
      </c>
      <c r="H44" s="128">
        <v>0.94</v>
      </c>
    </row>
    <row r="45" spans="1:8" ht="9.9499999999999993" customHeight="1" x14ac:dyDescent="0.25">
      <c r="B45" s="2"/>
      <c r="C45" s="2"/>
      <c r="D45" s="2"/>
      <c r="E45" s="2"/>
      <c r="F45" s="2"/>
      <c r="G45" s="2"/>
      <c r="H45" s="2"/>
    </row>
    <row r="46" spans="1:8" ht="20.100000000000001" customHeight="1" x14ac:dyDescent="0.25">
      <c r="B46" s="8" t="s">
        <v>213</v>
      </c>
      <c r="C46" s="2"/>
      <c r="D46" s="128">
        <v>0.75</v>
      </c>
      <c r="E46" s="2"/>
      <c r="F46" s="128">
        <v>0.75</v>
      </c>
      <c r="G46" s="2"/>
      <c r="H46" s="128">
        <v>0.75</v>
      </c>
    </row>
    <row r="47" spans="1:8" ht="20.100000000000001" customHeight="1" x14ac:dyDescent="0.25">
      <c r="B47" s="2" t="s">
        <v>227</v>
      </c>
      <c r="C47" s="2"/>
      <c r="D47" s="90">
        <v>0.2</v>
      </c>
      <c r="E47" s="2"/>
      <c r="F47" s="90">
        <v>0.3</v>
      </c>
      <c r="G47" s="2"/>
      <c r="H47" s="90">
        <v>0.4</v>
      </c>
    </row>
    <row r="48" spans="1:8" ht="20.100000000000001" customHeight="1" x14ac:dyDescent="0.25">
      <c r="B48" s="2" t="s">
        <v>221</v>
      </c>
      <c r="C48" s="2"/>
      <c r="D48" s="90">
        <v>0.05</v>
      </c>
      <c r="E48" s="2"/>
      <c r="F48" s="90">
        <v>0.06</v>
      </c>
      <c r="G48" s="2"/>
      <c r="H48" s="90">
        <v>7.0000000000000007E-2</v>
      </c>
    </row>
    <row r="49" spans="2:8" ht="20.100000000000001" customHeight="1" x14ac:dyDescent="0.25">
      <c r="B49" s="2" t="s">
        <v>231</v>
      </c>
      <c r="C49" s="2"/>
      <c r="D49" s="90">
        <v>0.02</v>
      </c>
      <c r="E49" s="2"/>
      <c r="F49" s="90">
        <v>0.02</v>
      </c>
      <c r="G49" s="2"/>
      <c r="H49" s="90">
        <v>0.02</v>
      </c>
    </row>
    <row r="50" spans="2:8" ht="20.100000000000001" hidden="1" customHeight="1" x14ac:dyDescent="0.25">
      <c r="B50" s="2" t="s">
        <v>200</v>
      </c>
      <c r="C50" s="2"/>
      <c r="D50" s="90">
        <v>0</v>
      </c>
      <c r="E50" s="2"/>
      <c r="F50" s="90">
        <v>0</v>
      </c>
      <c r="G50" s="2"/>
      <c r="H50" s="90">
        <v>0</v>
      </c>
    </row>
    <row r="51" spans="2:8" ht="9.9499999999999993" customHeight="1" x14ac:dyDescent="0.25">
      <c r="B51" s="2"/>
      <c r="C51" s="2"/>
      <c r="D51" s="2"/>
      <c r="E51" s="2"/>
      <c r="F51" s="2"/>
      <c r="G51" s="2"/>
      <c r="H51" s="2"/>
    </row>
    <row r="52" spans="2:8" ht="20.100000000000001" customHeight="1" x14ac:dyDescent="0.25">
      <c r="B52" s="8" t="s">
        <v>234</v>
      </c>
      <c r="C52" s="2"/>
      <c r="D52" s="129">
        <v>350000</v>
      </c>
      <c r="F52" s="129">
        <v>350000</v>
      </c>
      <c r="H52" s="129">
        <v>350000</v>
      </c>
    </row>
    <row r="53" spans="2:8" ht="20.100000000000001" customHeight="1" x14ac:dyDescent="0.25">
      <c r="B53" s="2" t="s">
        <v>167</v>
      </c>
      <c r="C53" s="2"/>
      <c r="D53" s="29">
        <f>ROUND($D$52*$D$44,0)</f>
        <v>336000</v>
      </c>
      <c r="E53" s="2"/>
      <c r="F53" s="29">
        <f>ROUND($F$52*$F$44,0)</f>
        <v>332500</v>
      </c>
      <c r="H53" s="29">
        <f>ROUND($H$52*$H$44,0)</f>
        <v>329000</v>
      </c>
    </row>
    <row r="54" spans="2:8" ht="20.100000000000001" customHeight="1" x14ac:dyDescent="0.25">
      <c r="B54" s="8" t="s">
        <v>168</v>
      </c>
      <c r="C54" s="2"/>
      <c r="D54" s="128">
        <v>0.85</v>
      </c>
      <c r="E54" s="2"/>
      <c r="F54" s="128">
        <v>0.85</v>
      </c>
      <c r="H54" s="128">
        <v>0.85</v>
      </c>
    </row>
    <row r="55" spans="2:8" ht="20.100000000000001" customHeight="1" x14ac:dyDescent="0.25">
      <c r="B55" s="2" t="s">
        <v>170</v>
      </c>
      <c r="C55" s="2"/>
      <c r="D55" s="29">
        <f>ROUND($D$52*$D$54,0)</f>
        <v>297500</v>
      </c>
      <c r="E55" s="2"/>
      <c r="F55" s="29">
        <f>ROUND(F52*F54,0)</f>
        <v>297500</v>
      </c>
      <c r="H55" s="29">
        <f>ROUND(H52*H54,0)</f>
        <v>297500</v>
      </c>
    </row>
    <row r="56" spans="2:8" ht="20.100000000000001" hidden="1" customHeight="1" x14ac:dyDescent="0.25">
      <c r="B56" s="2"/>
      <c r="C56" s="2"/>
      <c r="D56" s="2"/>
      <c r="E56" s="2"/>
      <c r="F56" s="2"/>
      <c r="G56" s="2"/>
      <c r="H56" s="2"/>
    </row>
    <row r="57" spans="2:8" ht="20.100000000000001" customHeight="1" x14ac:dyDescent="0.25">
      <c r="B57" s="8" t="s">
        <v>235</v>
      </c>
      <c r="C57" s="2"/>
      <c r="D57" s="129">
        <v>520000</v>
      </c>
      <c r="E57" s="2"/>
      <c r="F57" s="129">
        <v>520000</v>
      </c>
      <c r="H57" s="129">
        <v>520000</v>
      </c>
    </row>
    <row r="58" spans="2:8" ht="20.100000000000001" customHeight="1" x14ac:dyDescent="0.25">
      <c r="B58" s="2" t="s">
        <v>171</v>
      </c>
      <c r="C58" s="2"/>
      <c r="D58" s="29">
        <f>ROUND(D57*D44,0)</f>
        <v>499200</v>
      </c>
      <c r="E58" s="2"/>
      <c r="F58" s="29">
        <f>ROUND($F$57*$F$44,0)</f>
        <v>494000</v>
      </c>
      <c r="H58" s="29">
        <f>ROUND($H$57*$H$44,0)</f>
        <v>488800</v>
      </c>
    </row>
    <row r="59" spans="2:8" ht="20.100000000000001" customHeight="1" x14ac:dyDescent="0.25">
      <c r="B59" s="8" t="s">
        <v>172</v>
      </c>
      <c r="C59" s="2"/>
      <c r="D59" s="128">
        <v>0.8</v>
      </c>
      <c r="E59" s="2"/>
      <c r="F59" s="128">
        <v>0.8</v>
      </c>
      <c r="H59" s="128">
        <v>0.8</v>
      </c>
    </row>
    <row r="60" spans="2:8" ht="20.100000000000001" customHeight="1" x14ac:dyDescent="0.25">
      <c r="B60" s="2" t="s">
        <v>169</v>
      </c>
      <c r="C60" s="2"/>
      <c r="D60" s="29">
        <f>ROUND($D$57*$D$59,0)</f>
        <v>416000</v>
      </c>
      <c r="E60" s="2"/>
      <c r="F60" s="29">
        <f>ROUND($F$57*$F$59,0)</f>
        <v>416000</v>
      </c>
      <c r="H60" s="29">
        <f>ROUND($H$57*$H$59,0)</f>
        <v>416000</v>
      </c>
    </row>
    <row r="61" spans="2:8" ht="9.9499999999999993" customHeight="1" x14ac:dyDescent="0.25">
      <c r="B61" s="2"/>
      <c r="C61" s="2"/>
      <c r="D61" s="2"/>
      <c r="E61" s="2"/>
      <c r="F61" s="2"/>
      <c r="G61" s="2"/>
      <c r="H61" s="2"/>
    </row>
    <row r="62" spans="2:8" ht="20.100000000000001" hidden="1" customHeight="1" x14ac:dyDescent="0.25">
      <c r="B62" s="8" t="s">
        <v>198</v>
      </c>
      <c r="C62" s="2"/>
      <c r="D62" s="128">
        <v>0</v>
      </c>
      <c r="E62" s="2"/>
      <c r="F62" s="128">
        <v>0</v>
      </c>
      <c r="H62" s="128">
        <v>0</v>
      </c>
    </row>
    <row r="63" spans="2:8" ht="20.100000000000001" customHeight="1" x14ac:dyDescent="0.25">
      <c r="B63" s="2" t="s">
        <v>238</v>
      </c>
      <c r="C63" s="2"/>
      <c r="D63" s="15">
        <v>5284</v>
      </c>
      <c r="F63" s="15">
        <v>5284</v>
      </c>
      <c r="H63" s="15">
        <v>5284</v>
      </c>
    </row>
    <row r="64" spans="2:8" ht="20.100000000000001" customHeight="1" x14ac:dyDescent="0.25">
      <c r="B64" s="2" t="s">
        <v>224</v>
      </c>
      <c r="C64" s="2"/>
      <c r="D64" s="90">
        <v>1.4999999999999999E-2</v>
      </c>
      <c r="E64" s="2"/>
      <c r="F64" s="90">
        <v>1.4999999999999999E-2</v>
      </c>
      <c r="H64" s="90">
        <v>1.4999999999999999E-2</v>
      </c>
    </row>
    <row r="65" spans="1:10" ht="8.1" customHeight="1" x14ac:dyDescent="0.25">
      <c r="B65" s="2"/>
      <c r="C65" s="2"/>
      <c r="D65" s="2"/>
      <c r="E65" s="2"/>
      <c r="F65" s="2"/>
      <c r="G65" s="2"/>
      <c r="H65" s="2"/>
      <c r="I65" s="2"/>
    </row>
    <row r="66" spans="1:10" ht="20.100000000000001" customHeight="1" x14ac:dyDescent="0.25">
      <c r="A66" s="7" t="s">
        <v>39</v>
      </c>
      <c r="B66" s="7" t="s">
        <v>5</v>
      </c>
      <c r="C66" s="7"/>
    </row>
    <row r="67" spans="1:10" ht="20.100000000000001" customHeight="1" x14ac:dyDescent="0.25">
      <c r="B67" s="2" t="s">
        <v>229</v>
      </c>
      <c r="C67" s="2"/>
      <c r="D67" s="15">
        <v>8</v>
      </c>
      <c r="F67" s="15">
        <v>8</v>
      </c>
      <c r="H67" s="15">
        <v>8</v>
      </c>
    </row>
    <row r="68" spans="1:10" ht="20.100000000000001" customHeight="1" x14ac:dyDescent="0.25">
      <c r="B68" s="2" t="s">
        <v>173</v>
      </c>
      <c r="C68" s="2"/>
      <c r="D68" s="15">
        <v>340</v>
      </c>
      <c r="F68" s="15">
        <v>340</v>
      </c>
      <c r="H68" s="15">
        <v>340</v>
      </c>
    </row>
    <row r="69" spans="1:10" ht="20.100000000000001" customHeight="1" x14ac:dyDescent="0.25">
      <c r="B69" s="2" t="s">
        <v>230</v>
      </c>
      <c r="C69" s="2"/>
      <c r="D69" s="15">
        <v>333</v>
      </c>
      <c r="F69" s="15">
        <v>333</v>
      </c>
      <c r="H69" s="15">
        <v>333</v>
      </c>
    </row>
    <row r="70" spans="1:10" ht="8.1" customHeight="1" x14ac:dyDescent="0.25">
      <c r="B70" s="2"/>
      <c r="C70" s="2"/>
      <c r="D70" s="2"/>
      <c r="E70" s="2"/>
      <c r="F70" s="2"/>
      <c r="G70" s="2"/>
      <c r="H70" s="2"/>
    </row>
    <row r="71" spans="1:10" ht="8.1" customHeight="1" x14ac:dyDescent="0.25">
      <c r="A71" s="85"/>
      <c r="B71" s="86"/>
      <c r="C71" s="86"/>
      <c r="D71" s="86"/>
      <c r="E71" s="86"/>
      <c r="F71" s="86"/>
      <c r="G71" s="86"/>
      <c r="H71" s="86"/>
      <c r="I71" s="2"/>
      <c r="J71" s="2"/>
    </row>
    <row r="72" spans="1:10" ht="20.100000000000001" hidden="1" customHeight="1" x14ac:dyDescent="0.25">
      <c r="A72" s="84" t="s">
        <v>71</v>
      </c>
      <c r="B72" s="84" t="s">
        <v>174</v>
      </c>
    </row>
    <row r="73" spans="1:10" ht="20.100000000000001" hidden="1" customHeight="1" x14ac:dyDescent="0.25">
      <c r="B73" s="20" t="s">
        <v>72</v>
      </c>
      <c r="C73" s="22"/>
      <c r="D73" s="80">
        <v>50000000</v>
      </c>
    </row>
    <row r="74" spans="1:10" ht="20.100000000000001" hidden="1" customHeight="1" x14ac:dyDescent="0.25">
      <c r="B74" s="20" t="s">
        <v>65</v>
      </c>
      <c r="D74" s="81">
        <v>1.4999999999999999E-2</v>
      </c>
    </row>
    <row r="75" spans="1:10" ht="20.100000000000001" hidden="1" customHeight="1" x14ac:dyDescent="0.25">
      <c r="B75" s="20" t="s">
        <v>66</v>
      </c>
      <c r="D75" s="81">
        <v>5.0000000000000001E-3</v>
      </c>
    </row>
    <row r="76" spans="1:10" ht="20.100000000000001" hidden="1" customHeight="1" x14ac:dyDescent="0.25">
      <c r="B76" s="20" t="s">
        <v>67</v>
      </c>
      <c r="D76" s="81">
        <v>2.75E-2</v>
      </c>
    </row>
    <row r="77" spans="1:10" ht="8.1" customHeight="1" x14ac:dyDescent="0.25">
      <c r="A77" s="85"/>
      <c r="B77" s="86"/>
      <c r="C77" s="86"/>
      <c r="D77" s="86"/>
      <c r="E77" s="86"/>
      <c r="F77" s="86"/>
      <c r="G77" s="86"/>
      <c r="H77" s="86"/>
      <c r="I77" s="2"/>
      <c r="J77" s="2"/>
    </row>
    <row r="78" spans="1:10" ht="20.100000000000001" customHeight="1" x14ac:dyDescent="0.25"/>
    <row r="79" spans="1:10" ht="20.100000000000001" customHeight="1" x14ac:dyDescent="0.25">
      <c r="B79" s="20"/>
      <c r="C79" s="22"/>
      <c r="D79" s="79"/>
      <c r="E79" s="79"/>
      <c r="F79" s="79"/>
    </row>
    <row r="80" spans="1:10" ht="20.100000000000001" customHeight="1" x14ac:dyDescent="0.25">
      <c r="D80" s="79"/>
      <c r="E80" s="79"/>
    </row>
    <row r="81" spans="3:5" ht="20.100000000000001" customHeight="1" x14ac:dyDescent="0.25">
      <c r="C81" s="22"/>
      <c r="D81" s="79"/>
      <c r="E81" s="79"/>
    </row>
    <row r="82" spans="3:5" ht="20.100000000000001" customHeight="1" x14ac:dyDescent="0.25">
      <c r="C82" s="22"/>
      <c r="D82" s="79"/>
      <c r="E82" s="79"/>
    </row>
    <row r="83" spans="3:5" ht="20.100000000000001" customHeight="1" x14ac:dyDescent="0.25"/>
    <row r="84" spans="3:5" ht="20.100000000000001" customHeight="1" x14ac:dyDescent="0.25"/>
    <row r="85" spans="3:5" ht="20.100000000000001" customHeight="1" x14ac:dyDescent="0.25"/>
    <row r="86" spans="3:5" ht="20.100000000000001" customHeight="1" x14ac:dyDescent="0.25"/>
    <row r="87" spans="3:5" ht="20.100000000000001" customHeight="1" x14ac:dyDescent="0.25"/>
    <row r="88" spans="3:5" ht="20.100000000000001" customHeight="1" x14ac:dyDescent="0.25"/>
  </sheetData>
  <sheetProtection algorithmName="SHA-512" hashValue="jvwLsv7Z4Yi0eHykIjkIIgGXtiZ4CQCkJFcYVNlp6FFs+Dq83R0fMwcGSgVUoRo5bPRboMbwwt8hGoa51LOcQA==" saltValue="GbMJCrG7MsexPumocUMpvg==" spinCount="100000" sheet="1" selectLockedCells="1"/>
  <protectedRanges>
    <protectedRange algorithmName="SHA-512" hashValue="iT5wWKFwkXK/d1NmcLXelaQ9tMMoR29C33+JrPfVFIefDFieo/1eVcCpPVP9Xhjb/gMAt7+rAYiSf3HMaOnrsA==" saltValue="St0vxN0BPvsK87pkxFpbSw==" spinCount="100000" sqref="D7 F7 H7 D10 F10 H10 D14 F14 H14 D20 F20 H20 D28 F28 H28 D33 F33 H33 D39 F39 H39 D44 F44 H44 D52 F52 H52 D57 F57 H57 D62 F62 H62" name="Range1"/>
  </protectedRanges>
  <conditionalFormatting sqref="B73:B76">
    <cfRule type="cellIs" dxfId="217" priority="223" operator="equal">
      <formula>0</formula>
    </cfRule>
  </conditionalFormatting>
  <conditionalFormatting sqref="B79">
    <cfRule type="cellIs" dxfId="216" priority="433" operator="equal">
      <formula>0</formula>
    </cfRule>
  </conditionalFormatting>
  <conditionalFormatting sqref="D3:D18">
    <cfRule type="cellIs" dxfId="215" priority="5" operator="equal">
      <formula>0</formula>
    </cfRule>
  </conditionalFormatting>
  <conditionalFormatting sqref="D20">
    <cfRule type="cellIs" dxfId="214" priority="39" operator="equal">
      <formula>0</formula>
    </cfRule>
  </conditionalFormatting>
  <conditionalFormatting sqref="D22:D26">
    <cfRule type="cellIs" dxfId="213" priority="211" operator="equal">
      <formula>0</formula>
    </cfRule>
  </conditionalFormatting>
  <conditionalFormatting sqref="D28:D31">
    <cfRule type="cellIs" dxfId="212" priority="421" operator="equal">
      <formula>0</formula>
    </cfRule>
  </conditionalFormatting>
  <conditionalFormatting sqref="D33:D36">
    <cfRule type="cellIs" dxfId="211" priority="420" operator="equal">
      <formula>0</formula>
    </cfRule>
  </conditionalFormatting>
  <conditionalFormatting sqref="D38">
    <cfRule type="cellIs" dxfId="210" priority="423" operator="equal">
      <formula>0</formula>
    </cfRule>
  </conditionalFormatting>
  <conditionalFormatting sqref="D40:D41">
    <cfRule type="cellIs" dxfId="209" priority="270" operator="equal">
      <formula>0</formula>
    </cfRule>
  </conditionalFormatting>
  <conditionalFormatting sqref="D44">
    <cfRule type="cellIs" dxfId="208" priority="28" operator="equal">
      <formula>0</formula>
    </cfRule>
  </conditionalFormatting>
  <conditionalFormatting sqref="D46:D50">
    <cfRule type="cellIs" dxfId="207" priority="155" operator="equal">
      <formula>0</formula>
    </cfRule>
  </conditionalFormatting>
  <conditionalFormatting sqref="D52:D55">
    <cfRule type="cellIs" dxfId="206" priority="408" operator="equal">
      <formula>0</formula>
    </cfRule>
  </conditionalFormatting>
  <conditionalFormatting sqref="D57:D60">
    <cfRule type="cellIs" dxfId="205" priority="407" operator="equal">
      <formula>0</formula>
    </cfRule>
  </conditionalFormatting>
  <conditionalFormatting sqref="D63:D64">
    <cfRule type="cellIs" dxfId="204" priority="241" operator="equal">
      <formula>0</formula>
    </cfRule>
  </conditionalFormatting>
  <conditionalFormatting sqref="D67:D69">
    <cfRule type="cellIs" dxfId="203" priority="430" operator="equal">
      <formula>0</formula>
    </cfRule>
  </conditionalFormatting>
  <conditionalFormatting sqref="D73:D76">
    <cfRule type="cellIs" dxfId="202" priority="224" operator="equal">
      <formula>0</formula>
    </cfRule>
  </conditionalFormatting>
  <conditionalFormatting sqref="F3:F18">
    <cfRule type="cellIs" dxfId="201" priority="3" operator="equal">
      <formula>0</formula>
    </cfRule>
  </conditionalFormatting>
  <conditionalFormatting sqref="F20">
    <cfRule type="cellIs" dxfId="200" priority="31" operator="equal">
      <formula>0</formula>
    </cfRule>
  </conditionalFormatting>
  <conditionalFormatting sqref="F22:F26">
    <cfRule type="cellIs" dxfId="199" priority="91" operator="equal">
      <formula>0</formula>
    </cfRule>
  </conditionalFormatting>
  <conditionalFormatting sqref="F28:F31">
    <cfRule type="cellIs" dxfId="198" priority="387" operator="equal">
      <formula>0</formula>
    </cfRule>
  </conditionalFormatting>
  <conditionalFormatting sqref="F33:F36">
    <cfRule type="cellIs" dxfId="197" priority="386" operator="equal">
      <formula>0</formula>
    </cfRule>
  </conditionalFormatting>
  <conditionalFormatting sqref="F38">
    <cfRule type="cellIs" dxfId="196" priority="389" operator="equal">
      <formula>0</formula>
    </cfRule>
  </conditionalFormatting>
  <conditionalFormatting sqref="F40:F41">
    <cfRule type="cellIs" dxfId="195" priority="269" operator="equal">
      <formula>0</formula>
    </cfRule>
  </conditionalFormatting>
  <conditionalFormatting sqref="F44">
    <cfRule type="cellIs" dxfId="194" priority="20" operator="equal">
      <formula>0</formula>
    </cfRule>
  </conditionalFormatting>
  <conditionalFormatting sqref="F46:F50">
    <cfRule type="cellIs" dxfId="193" priority="97" operator="equal">
      <formula>0</formula>
    </cfRule>
  </conditionalFormatting>
  <conditionalFormatting sqref="F52:F55">
    <cfRule type="cellIs" dxfId="192" priority="374" operator="equal">
      <formula>0</formula>
    </cfRule>
  </conditionalFormatting>
  <conditionalFormatting sqref="F57:F60">
    <cfRule type="cellIs" dxfId="191" priority="373" operator="equal">
      <formula>0</formula>
    </cfRule>
  </conditionalFormatting>
  <conditionalFormatting sqref="F63:F64">
    <cfRule type="cellIs" dxfId="190" priority="240" operator="equal">
      <formula>0</formula>
    </cfRule>
  </conditionalFormatting>
  <conditionalFormatting sqref="F67:F69">
    <cfRule type="cellIs" dxfId="189" priority="395" operator="equal">
      <formula>0</formula>
    </cfRule>
  </conditionalFormatting>
  <conditionalFormatting sqref="H3:H18">
    <cfRule type="cellIs" dxfId="188" priority="1" operator="equal">
      <formula>0</formula>
    </cfRule>
  </conditionalFormatting>
  <conditionalFormatting sqref="H20">
    <cfRule type="cellIs" dxfId="187" priority="30" operator="equal">
      <formula>0</formula>
    </cfRule>
  </conditionalFormatting>
  <conditionalFormatting sqref="H22:H26">
    <cfRule type="cellIs" dxfId="186" priority="89" operator="equal">
      <formula>0</formula>
    </cfRule>
  </conditionalFormatting>
  <conditionalFormatting sqref="H28:H31">
    <cfRule type="cellIs" dxfId="185" priority="353" operator="equal">
      <formula>0</formula>
    </cfRule>
  </conditionalFormatting>
  <conditionalFormatting sqref="H33:H36">
    <cfRule type="cellIs" dxfId="184" priority="352" operator="equal">
      <formula>0</formula>
    </cfRule>
  </conditionalFormatting>
  <conditionalFormatting sqref="H38">
    <cfRule type="cellIs" dxfId="183" priority="355" operator="equal">
      <formula>0</formula>
    </cfRule>
  </conditionalFormatting>
  <conditionalFormatting sqref="H40:H41">
    <cfRule type="cellIs" dxfId="182" priority="268" operator="equal">
      <formula>0</formula>
    </cfRule>
  </conditionalFormatting>
  <conditionalFormatting sqref="H44">
    <cfRule type="cellIs" dxfId="181" priority="19" operator="equal">
      <formula>0</formula>
    </cfRule>
  </conditionalFormatting>
  <conditionalFormatting sqref="H46:H50">
    <cfRule type="cellIs" dxfId="180" priority="95" operator="equal">
      <formula>0</formula>
    </cfRule>
  </conditionalFormatting>
  <conditionalFormatting sqref="H52:H55">
    <cfRule type="cellIs" dxfId="179" priority="340" operator="equal">
      <formula>0</formula>
    </cfRule>
  </conditionalFormatting>
  <conditionalFormatting sqref="H57:H60">
    <cfRule type="cellIs" dxfId="178" priority="339" operator="equal">
      <formula>0</formula>
    </cfRule>
  </conditionalFormatting>
  <conditionalFormatting sqref="H63:H64">
    <cfRule type="cellIs" dxfId="177" priority="239" operator="equal">
      <formula>0</formula>
    </cfRule>
  </conditionalFormatting>
  <conditionalFormatting sqref="H67:H69">
    <cfRule type="cellIs" dxfId="176" priority="361" operator="equal">
      <formula>0</formula>
    </cfRule>
  </conditionalFormatting>
  <printOptions gridLines="1"/>
  <pageMargins left="0.31496062992125984" right="0.31496062992125984" top="0.35433070866141736" bottom="0.35433070866141736"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DE16D-9954-4604-8317-C934D40129A5}">
  <dimension ref="A2:J77"/>
  <sheetViews>
    <sheetView tabSelected="1" topLeftCell="A37" workbookViewId="0">
      <selection activeCell="B63" sqref="B63"/>
    </sheetView>
  </sheetViews>
  <sheetFormatPr defaultRowHeight="15" x14ac:dyDescent="0.25"/>
  <cols>
    <col min="1" max="1" width="86.85546875" bestFit="1" customWidth="1"/>
    <col min="2" max="2" width="11.85546875" customWidth="1"/>
  </cols>
  <sheetData>
    <row r="2" spans="1:10" x14ac:dyDescent="0.25">
      <c r="A2" s="23" t="s">
        <v>22</v>
      </c>
      <c r="D2" s="14"/>
      <c r="E2" s="14"/>
      <c r="F2" s="14"/>
      <c r="G2" s="14"/>
      <c r="H2" s="14"/>
      <c r="I2" s="14"/>
      <c r="J2" s="14"/>
    </row>
    <row r="3" spans="1:10" x14ac:dyDescent="0.25">
      <c r="A3" s="47" t="s">
        <v>241</v>
      </c>
      <c r="B3" s="40">
        <v>300</v>
      </c>
      <c r="D3" s="14"/>
      <c r="E3" s="14"/>
      <c r="F3" s="14"/>
      <c r="G3" s="14"/>
      <c r="H3" s="14"/>
      <c r="I3" s="14"/>
      <c r="J3" s="14"/>
    </row>
    <row r="4" spans="1:10" x14ac:dyDescent="0.25">
      <c r="A4" s="47" t="s">
        <v>242</v>
      </c>
      <c r="B4" s="40">
        <v>555</v>
      </c>
      <c r="D4" s="14"/>
      <c r="E4" s="14"/>
      <c r="F4" s="14"/>
      <c r="G4" s="14"/>
      <c r="H4" s="14"/>
      <c r="I4" s="14"/>
      <c r="J4" s="14"/>
    </row>
    <row r="5" spans="1:10" x14ac:dyDescent="0.25">
      <c r="A5" s="47" t="s">
        <v>243</v>
      </c>
      <c r="B5" s="40">
        <v>1055</v>
      </c>
      <c r="D5" s="14"/>
      <c r="E5" s="14"/>
      <c r="F5" s="14"/>
      <c r="G5" s="14"/>
      <c r="H5" s="14"/>
      <c r="I5" s="14"/>
      <c r="J5" s="14"/>
    </row>
    <row r="6" spans="1:10" x14ac:dyDescent="0.25">
      <c r="A6" s="39" t="s">
        <v>244</v>
      </c>
      <c r="B6" s="40">
        <v>17</v>
      </c>
      <c r="D6" s="14"/>
      <c r="E6" s="14"/>
      <c r="F6" s="14"/>
      <c r="G6" s="14"/>
      <c r="H6" s="14"/>
      <c r="I6" s="14"/>
      <c r="J6" s="14"/>
    </row>
    <row r="7" spans="1:10" x14ac:dyDescent="0.25">
      <c r="A7" s="39" t="s">
        <v>245</v>
      </c>
      <c r="B7" s="40">
        <v>1100</v>
      </c>
      <c r="D7" s="14"/>
      <c r="E7" s="14"/>
      <c r="F7" s="14"/>
      <c r="G7" s="14"/>
      <c r="H7" s="14"/>
      <c r="I7" s="14"/>
      <c r="J7" s="14"/>
    </row>
    <row r="8" spans="1:10" x14ac:dyDescent="0.25">
      <c r="A8" s="47" t="s">
        <v>246</v>
      </c>
      <c r="B8" s="40">
        <v>475</v>
      </c>
      <c r="D8" s="14"/>
      <c r="E8" s="14"/>
      <c r="F8" s="14"/>
      <c r="G8" s="14"/>
      <c r="H8" s="14"/>
      <c r="I8" s="14"/>
      <c r="J8" s="14"/>
    </row>
    <row r="9" spans="1:10" x14ac:dyDescent="0.25">
      <c r="A9" s="45" t="s">
        <v>247</v>
      </c>
      <c r="B9" s="40">
        <v>180</v>
      </c>
      <c r="D9" s="14"/>
      <c r="E9" s="14"/>
      <c r="F9" s="14"/>
      <c r="G9" s="14"/>
      <c r="H9" s="14"/>
      <c r="I9" s="14"/>
      <c r="J9" s="14"/>
    </row>
    <row r="10" spans="1:10" x14ac:dyDescent="0.25">
      <c r="A10" s="45" t="s">
        <v>248</v>
      </c>
      <c r="B10" s="40">
        <v>150</v>
      </c>
      <c r="D10" s="14"/>
      <c r="E10" s="14"/>
      <c r="F10" s="14"/>
      <c r="G10" s="14"/>
      <c r="H10" s="14"/>
      <c r="I10" s="14"/>
      <c r="J10" s="14"/>
    </row>
    <row r="11" spans="1:10" x14ac:dyDescent="0.25">
      <c r="A11" s="48" t="s">
        <v>249</v>
      </c>
      <c r="B11" s="40">
        <v>1452</v>
      </c>
      <c r="D11" s="14"/>
      <c r="E11" s="14"/>
      <c r="F11" s="14"/>
      <c r="G11" s="14"/>
      <c r="H11" s="14"/>
      <c r="I11" s="14"/>
      <c r="J11" s="14"/>
    </row>
    <row r="12" spans="1:10" x14ac:dyDescent="0.25">
      <c r="A12" s="48"/>
      <c r="B12" s="40"/>
      <c r="D12" s="14"/>
      <c r="E12" s="14"/>
      <c r="F12" s="14"/>
      <c r="G12" s="14"/>
      <c r="H12" s="14"/>
      <c r="I12" s="14"/>
      <c r="J12" s="14"/>
    </row>
    <row r="13" spans="1:10" x14ac:dyDescent="0.25">
      <c r="A13" s="48"/>
      <c r="B13" s="40"/>
      <c r="D13" s="14"/>
      <c r="E13" s="14"/>
      <c r="F13" s="14"/>
      <c r="G13" s="14"/>
      <c r="H13" s="14"/>
      <c r="I13" s="14"/>
      <c r="J13" s="14"/>
    </row>
    <row r="14" spans="1:10" x14ac:dyDescent="0.25">
      <c r="A14" s="136" t="s">
        <v>20</v>
      </c>
      <c r="B14" s="134">
        <f>SUM(B3:B13)</f>
        <v>5284</v>
      </c>
      <c r="D14" s="14"/>
      <c r="E14" s="14"/>
      <c r="F14" s="14"/>
      <c r="G14" s="14"/>
      <c r="H14" s="14"/>
      <c r="I14" s="14"/>
      <c r="J14" s="14"/>
    </row>
    <row r="15" spans="1:10" x14ac:dyDescent="0.25">
      <c r="D15" s="14"/>
      <c r="E15" s="14"/>
      <c r="F15" s="14"/>
      <c r="G15" s="14"/>
      <c r="H15" s="14"/>
      <c r="I15" s="14"/>
      <c r="J15" s="14"/>
    </row>
    <row r="16" spans="1:10" x14ac:dyDescent="0.25">
      <c r="D16" s="14"/>
      <c r="E16" s="14"/>
      <c r="F16" s="14"/>
      <c r="G16" s="14"/>
      <c r="H16" s="14"/>
      <c r="I16" s="14"/>
      <c r="J16" s="14"/>
    </row>
    <row r="17" spans="1:10" x14ac:dyDescent="0.25">
      <c r="A17" s="23" t="s">
        <v>23</v>
      </c>
      <c r="D17" s="14"/>
      <c r="E17" s="14"/>
      <c r="F17" s="14"/>
      <c r="G17" s="14"/>
      <c r="H17" s="14"/>
      <c r="I17" s="14"/>
      <c r="J17" s="14"/>
    </row>
    <row r="18" spans="1:10" x14ac:dyDescent="0.25">
      <c r="A18" s="42" t="s">
        <v>250</v>
      </c>
      <c r="B18" s="40">
        <v>4000</v>
      </c>
      <c r="D18" s="14"/>
      <c r="E18" s="14"/>
      <c r="F18" s="14"/>
      <c r="G18" s="14"/>
      <c r="H18" s="14"/>
      <c r="I18" s="14"/>
      <c r="J18" s="14"/>
    </row>
    <row r="19" spans="1:10" x14ac:dyDescent="0.25">
      <c r="A19" s="42" t="s">
        <v>251</v>
      </c>
      <c r="B19" s="40">
        <v>10000</v>
      </c>
      <c r="D19" s="14"/>
      <c r="E19" s="14"/>
      <c r="F19" s="14"/>
      <c r="G19" s="14"/>
      <c r="H19" s="14"/>
      <c r="I19" s="14"/>
      <c r="J19" s="14"/>
    </row>
    <row r="20" spans="1:10" x14ac:dyDescent="0.25">
      <c r="A20" s="42" t="s">
        <v>252</v>
      </c>
      <c r="B20" s="40">
        <v>10000</v>
      </c>
      <c r="D20" s="14"/>
      <c r="E20" s="14"/>
      <c r="F20" s="14"/>
      <c r="G20" s="14"/>
      <c r="H20" s="14"/>
      <c r="I20" s="14"/>
      <c r="J20" s="14"/>
    </row>
    <row r="21" spans="1:10" x14ac:dyDescent="0.25">
      <c r="A21" s="42" t="s">
        <v>253</v>
      </c>
      <c r="B21" s="40">
        <v>10000</v>
      </c>
      <c r="D21" s="14"/>
      <c r="E21" s="14"/>
      <c r="F21" s="14"/>
      <c r="G21" s="14"/>
      <c r="H21" s="14"/>
      <c r="I21" s="14"/>
      <c r="J21" s="14"/>
    </row>
    <row r="22" spans="1:10" x14ac:dyDescent="0.25">
      <c r="A22" s="43" t="s">
        <v>286</v>
      </c>
      <c r="B22" s="40">
        <v>43000</v>
      </c>
      <c r="D22" s="14"/>
      <c r="E22" s="14"/>
      <c r="F22" s="14"/>
      <c r="G22" s="14"/>
      <c r="H22" s="14"/>
      <c r="I22" s="14"/>
      <c r="J22" s="14"/>
    </row>
    <row r="23" spans="1:10" x14ac:dyDescent="0.25">
      <c r="A23" s="42" t="s">
        <v>254</v>
      </c>
      <c r="B23" s="40">
        <v>7500</v>
      </c>
      <c r="D23" s="14"/>
      <c r="E23" s="14"/>
      <c r="F23" s="14"/>
      <c r="G23" s="14"/>
      <c r="H23" s="14"/>
      <c r="I23" s="14"/>
      <c r="J23" s="14"/>
    </row>
    <row r="24" spans="1:10" x14ac:dyDescent="0.25">
      <c r="A24" s="42" t="s">
        <v>285</v>
      </c>
      <c r="B24" s="40">
        <v>8000</v>
      </c>
      <c r="D24" s="14"/>
      <c r="E24" s="14"/>
      <c r="F24" s="14"/>
      <c r="G24" s="14"/>
      <c r="H24" s="14"/>
      <c r="I24" s="14"/>
      <c r="J24" s="14"/>
    </row>
    <row r="25" spans="1:10" x14ac:dyDescent="0.25">
      <c r="A25" s="42" t="s">
        <v>255</v>
      </c>
      <c r="B25" s="40">
        <v>4000</v>
      </c>
      <c r="D25" s="14"/>
      <c r="E25" s="14"/>
      <c r="F25" s="14"/>
      <c r="G25" s="14"/>
      <c r="H25" s="14"/>
      <c r="I25" s="14"/>
      <c r="J25" s="14"/>
    </row>
    <row r="26" spans="1:10" x14ac:dyDescent="0.25">
      <c r="A26" s="42" t="s">
        <v>256</v>
      </c>
      <c r="B26" s="40">
        <v>8000</v>
      </c>
      <c r="D26" s="14"/>
      <c r="E26" s="14"/>
      <c r="F26" s="14"/>
      <c r="G26" s="14"/>
      <c r="H26" s="14"/>
      <c r="I26" s="14"/>
      <c r="J26" s="14"/>
    </row>
    <row r="27" spans="1:10" x14ac:dyDescent="0.25">
      <c r="A27" s="43" t="s">
        <v>257</v>
      </c>
      <c r="B27" s="40">
        <v>4000</v>
      </c>
      <c r="D27" s="14"/>
      <c r="E27" s="14"/>
      <c r="F27" s="14"/>
      <c r="G27" s="14"/>
      <c r="H27" s="14"/>
      <c r="I27" s="14"/>
      <c r="J27" s="14"/>
    </row>
    <row r="28" spans="1:10" x14ac:dyDescent="0.25">
      <c r="A28" s="42" t="s">
        <v>258</v>
      </c>
      <c r="B28" s="40">
        <v>20000</v>
      </c>
      <c r="D28" s="14"/>
      <c r="E28" s="14"/>
      <c r="F28" s="14"/>
      <c r="G28" s="14"/>
      <c r="H28" s="14"/>
      <c r="I28" s="14"/>
      <c r="J28" s="14"/>
    </row>
    <row r="29" spans="1:10" x14ac:dyDescent="0.25">
      <c r="A29" s="42" t="s">
        <v>284</v>
      </c>
      <c r="B29" s="40">
        <v>26000</v>
      </c>
      <c r="D29" s="14"/>
      <c r="E29" s="14"/>
      <c r="F29" s="14"/>
      <c r="G29" s="14"/>
      <c r="H29" s="14"/>
      <c r="I29" s="14"/>
      <c r="J29" s="14"/>
    </row>
    <row r="30" spans="1:10" x14ac:dyDescent="0.25">
      <c r="A30" s="49" t="s">
        <v>259</v>
      </c>
      <c r="B30" s="40">
        <v>8000</v>
      </c>
      <c r="D30" s="14"/>
      <c r="E30" s="14"/>
      <c r="F30" s="14"/>
      <c r="G30" s="14"/>
      <c r="H30" s="14"/>
      <c r="I30" s="14"/>
      <c r="J30" s="14"/>
    </row>
    <row r="31" spans="1:10" x14ac:dyDescent="0.25">
      <c r="A31" s="43" t="s">
        <v>287</v>
      </c>
      <c r="B31" s="40">
        <v>10000</v>
      </c>
      <c r="D31" s="14"/>
      <c r="E31" s="14"/>
      <c r="F31" s="14"/>
      <c r="G31" s="14"/>
      <c r="H31" s="14"/>
      <c r="I31" s="14"/>
      <c r="J31" s="14"/>
    </row>
    <row r="32" spans="1:10" x14ac:dyDescent="0.25">
      <c r="A32" t="s">
        <v>288</v>
      </c>
      <c r="B32" s="40">
        <v>400000</v>
      </c>
      <c r="D32" s="14"/>
      <c r="E32" s="14"/>
      <c r="F32" s="14"/>
      <c r="G32" s="14"/>
      <c r="H32" s="14"/>
      <c r="I32" s="14"/>
      <c r="J32" s="14"/>
    </row>
    <row r="33" spans="1:10" x14ac:dyDescent="0.25">
      <c r="A33" s="42" t="s">
        <v>289</v>
      </c>
      <c r="B33" s="40">
        <v>27500</v>
      </c>
      <c r="D33" s="14"/>
      <c r="E33" s="14"/>
      <c r="F33" s="14"/>
      <c r="G33" s="14"/>
      <c r="H33" s="14"/>
      <c r="I33" s="14"/>
      <c r="J33" s="14"/>
    </row>
    <row r="34" spans="1:10" x14ac:dyDescent="0.25">
      <c r="A34" s="131"/>
      <c r="B34" s="132"/>
      <c r="D34" s="14"/>
      <c r="E34" s="14"/>
      <c r="F34" s="14"/>
      <c r="G34" s="14"/>
      <c r="H34" s="14"/>
      <c r="I34" s="14"/>
      <c r="J34" s="14"/>
    </row>
    <row r="35" spans="1:10" x14ac:dyDescent="0.25">
      <c r="A35" s="44" t="s">
        <v>20</v>
      </c>
      <c r="B35" s="134">
        <f>SUM(B18:B34)</f>
        <v>600000</v>
      </c>
      <c r="D35" s="14"/>
      <c r="E35" s="14"/>
      <c r="F35" s="14"/>
      <c r="G35" s="14"/>
      <c r="H35" s="14"/>
      <c r="I35" s="14"/>
      <c r="J35" s="14"/>
    </row>
    <row r="36" spans="1:10" x14ac:dyDescent="0.25">
      <c r="A36" s="44"/>
      <c r="B36" s="50"/>
      <c r="D36" s="14"/>
      <c r="E36" s="14"/>
      <c r="F36" s="14"/>
      <c r="G36" s="14"/>
      <c r="H36" s="14"/>
      <c r="I36" s="14"/>
      <c r="J36" s="14"/>
    </row>
    <row r="37" spans="1:10" x14ac:dyDescent="0.25">
      <c r="D37" s="14"/>
      <c r="E37" s="14"/>
      <c r="F37" s="14"/>
      <c r="G37" s="14"/>
      <c r="H37" s="14"/>
      <c r="I37" s="14"/>
      <c r="J37" s="14"/>
    </row>
    <row r="38" spans="1:10" x14ac:dyDescent="0.25">
      <c r="D38" s="14"/>
      <c r="E38" s="14"/>
      <c r="F38" s="14"/>
      <c r="G38" s="14"/>
      <c r="H38" s="14"/>
      <c r="I38" s="14"/>
      <c r="J38" s="14"/>
    </row>
    <row r="39" spans="1:10" x14ac:dyDescent="0.25">
      <c r="A39" s="23" t="s">
        <v>24</v>
      </c>
      <c r="D39" s="14"/>
      <c r="E39" s="14"/>
      <c r="F39" s="14"/>
      <c r="G39" s="14"/>
      <c r="H39" s="14"/>
      <c r="I39" s="14"/>
      <c r="J39" s="14"/>
    </row>
    <row r="40" spans="1:10" x14ac:dyDescent="0.25">
      <c r="A40" s="39" t="s">
        <v>261</v>
      </c>
      <c r="B40" s="40">
        <v>40000</v>
      </c>
      <c r="D40" s="14"/>
      <c r="E40" s="14"/>
      <c r="F40" s="14"/>
      <c r="G40" s="14"/>
      <c r="H40" s="14"/>
      <c r="I40" s="14"/>
      <c r="J40" s="14"/>
    </row>
    <row r="41" spans="1:10" x14ac:dyDescent="0.25">
      <c r="A41" s="131" t="s">
        <v>240</v>
      </c>
      <c r="B41" s="40">
        <v>4000</v>
      </c>
      <c r="D41" s="14"/>
      <c r="E41" s="14"/>
      <c r="F41" s="14"/>
      <c r="G41" s="14"/>
      <c r="H41" s="14"/>
      <c r="I41" s="14"/>
      <c r="J41" s="14"/>
    </row>
    <row r="42" spans="1:10" x14ac:dyDescent="0.25">
      <c r="A42" s="39" t="s">
        <v>262</v>
      </c>
      <c r="B42" s="40">
        <v>14400</v>
      </c>
      <c r="D42" s="14"/>
      <c r="E42" s="14"/>
      <c r="F42" s="14"/>
      <c r="G42" s="14"/>
      <c r="H42" s="14"/>
      <c r="I42" s="14"/>
      <c r="J42" s="14"/>
    </row>
    <row r="43" spans="1:10" x14ac:dyDescent="0.25">
      <c r="A43" s="39" t="s">
        <v>263</v>
      </c>
      <c r="B43" s="40">
        <v>10000</v>
      </c>
      <c r="D43" s="14"/>
      <c r="E43" s="14"/>
      <c r="F43" s="14"/>
      <c r="G43" s="14"/>
      <c r="H43" s="14"/>
      <c r="I43" s="14"/>
      <c r="J43" s="14"/>
    </row>
    <row r="44" spans="1:10" x14ac:dyDescent="0.25">
      <c r="A44" s="45" t="s">
        <v>264</v>
      </c>
      <c r="B44" s="40">
        <v>350</v>
      </c>
      <c r="D44" s="14"/>
      <c r="E44" s="14"/>
      <c r="F44" s="14"/>
      <c r="G44" s="14"/>
      <c r="H44" s="14"/>
      <c r="I44" s="14"/>
      <c r="J44" s="14"/>
    </row>
    <row r="45" spans="1:10" x14ac:dyDescent="0.25">
      <c r="A45" s="45" t="s">
        <v>265</v>
      </c>
      <c r="B45" s="40">
        <v>4776</v>
      </c>
      <c r="D45" s="14"/>
      <c r="E45" s="14"/>
      <c r="F45" s="14"/>
      <c r="G45" s="14"/>
      <c r="H45" s="14"/>
      <c r="I45" s="14"/>
      <c r="J45" s="14"/>
    </row>
    <row r="46" spans="1:10" x14ac:dyDescent="0.25">
      <c r="A46" s="39" t="s">
        <v>266</v>
      </c>
      <c r="B46" s="40">
        <v>2000</v>
      </c>
      <c r="D46" s="14"/>
      <c r="E46" s="14"/>
      <c r="F46" s="14"/>
      <c r="G46" s="14"/>
      <c r="H46" s="14"/>
      <c r="I46" s="14"/>
      <c r="J46" s="14"/>
    </row>
    <row r="47" spans="1:10" x14ac:dyDescent="0.25">
      <c r="A47" s="131" t="s">
        <v>267</v>
      </c>
      <c r="B47" s="40">
        <v>2500</v>
      </c>
      <c r="D47" s="14"/>
      <c r="E47" s="14"/>
      <c r="F47" s="14"/>
      <c r="G47" s="14"/>
      <c r="H47" s="14"/>
      <c r="I47" s="14"/>
      <c r="J47" s="14"/>
    </row>
    <row r="48" spans="1:10" x14ac:dyDescent="0.25">
      <c r="A48" s="39" t="s">
        <v>268</v>
      </c>
      <c r="B48" s="40">
        <v>2000</v>
      </c>
      <c r="D48" s="14"/>
      <c r="E48" s="14"/>
      <c r="F48" s="14"/>
      <c r="G48" s="14"/>
      <c r="H48" s="14"/>
      <c r="I48" s="14"/>
      <c r="J48" s="14"/>
    </row>
    <row r="49" spans="1:10" x14ac:dyDescent="0.25">
      <c r="A49" s="39" t="s">
        <v>269</v>
      </c>
      <c r="B49" s="40">
        <v>30000</v>
      </c>
      <c r="D49" s="14"/>
      <c r="E49" s="14"/>
      <c r="F49" s="14"/>
      <c r="G49" s="14"/>
      <c r="H49" s="14"/>
      <c r="I49" s="14"/>
      <c r="J49" s="14"/>
    </row>
    <row r="50" spans="1:10" x14ac:dyDescent="0.25">
      <c r="A50" s="39" t="s">
        <v>270</v>
      </c>
      <c r="B50" s="40">
        <v>5000</v>
      </c>
      <c r="D50" s="14"/>
      <c r="E50" s="14"/>
      <c r="F50" s="14"/>
      <c r="G50" s="14"/>
      <c r="H50" s="14"/>
      <c r="I50" s="14"/>
      <c r="J50" s="14"/>
    </row>
    <row r="51" spans="1:10" x14ac:dyDescent="0.25">
      <c r="A51" s="39" t="s">
        <v>290</v>
      </c>
      <c r="B51" s="40">
        <v>15000</v>
      </c>
      <c r="D51" s="14"/>
      <c r="E51" s="14"/>
      <c r="F51" s="14"/>
      <c r="G51" s="14"/>
      <c r="H51" s="14"/>
      <c r="I51" s="14"/>
      <c r="J51" s="14"/>
    </row>
    <row r="52" spans="1:10" x14ac:dyDescent="0.25">
      <c r="A52" s="39" t="s">
        <v>271</v>
      </c>
      <c r="B52" s="40">
        <v>5000</v>
      </c>
      <c r="D52" s="14"/>
      <c r="E52" s="14"/>
      <c r="F52" s="14"/>
      <c r="G52" s="14"/>
      <c r="H52" s="14"/>
      <c r="I52" s="14"/>
      <c r="J52" s="14"/>
    </row>
    <row r="53" spans="1:10" x14ac:dyDescent="0.25">
      <c r="A53" s="39" t="s">
        <v>291</v>
      </c>
      <c r="B53" s="40">
        <v>4000</v>
      </c>
      <c r="D53" s="14"/>
      <c r="E53" s="14"/>
      <c r="F53" s="14"/>
      <c r="G53" s="14"/>
      <c r="H53" s="14"/>
      <c r="I53" s="14"/>
      <c r="J53" s="14"/>
    </row>
    <row r="54" spans="1:10" x14ac:dyDescent="0.25">
      <c r="A54" s="39" t="s">
        <v>272</v>
      </c>
      <c r="B54" s="40">
        <v>1500</v>
      </c>
      <c r="D54" s="14"/>
      <c r="E54" s="14"/>
      <c r="F54" s="14"/>
      <c r="G54" s="14"/>
      <c r="H54" s="14"/>
      <c r="I54" s="14"/>
      <c r="J54" s="14"/>
    </row>
    <row r="55" spans="1:10" x14ac:dyDescent="0.25">
      <c r="A55" s="39" t="s">
        <v>273</v>
      </c>
      <c r="B55" s="40">
        <v>102000</v>
      </c>
      <c r="D55" s="14"/>
      <c r="E55" s="14"/>
      <c r="F55" s="14"/>
      <c r="G55" s="14"/>
      <c r="H55" s="14"/>
      <c r="I55" s="14"/>
      <c r="J55" s="14"/>
    </row>
    <row r="56" spans="1:10" x14ac:dyDescent="0.25">
      <c r="A56" s="39" t="s">
        <v>274</v>
      </c>
      <c r="B56" s="40">
        <v>42000</v>
      </c>
      <c r="D56" s="14"/>
      <c r="E56" s="14"/>
      <c r="F56" s="14"/>
      <c r="G56" s="14"/>
      <c r="H56" s="14"/>
      <c r="I56" s="14"/>
      <c r="J56" s="14"/>
    </row>
    <row r="57" spans="1:10" x14ac:dyDescent="0.25">
      <c r="A57" s="39" t="s">
        <v>282</v>
      </c>
      <c r="B57" s="40">
        <v>24000</v>
      </c>
      <c r="D57" s="14"/>
      <c r="E57" s="14"/>
      <c r="F57" s="14"/>
      <c r="G57" s="14"/>
      <c r="H57" s="14"/>
      <c r="I57" s="14"/>
      <c r="J57" s="14"/>
    </row>
    <row r="58" spans="1:10" x14ac:dyDescent="0.25">
      <c r="A58" s="39" t="s">
        <v>283</v>
      </c>
      <c r="B58" s="40">
        <v>36000</v>
      </c>
      <c r="D58" s="14"/>
      <c r="E58" s="14"/>
      <c r="F58" s="14"/>
      <c r="G58" s="14"/>
      <c r="H58" s="14"/>
      <c r="I58" s="14"/>
      <c r="J58" s="14"/>
    </row>
    <row r="59" spans="1:10" x14ac:dyDescent="0.25">
      <c r="A59" s="133" t="s">
        <v>275</v>
      </c>
      <c r="B59" s="40">
        <v>6000</v>
      </c>
      <c r="D59" s="14"/>
      <c r="E59" s="14"/>
      <c r="F59" s="14"/>
      <c r="G59" s="14"/>
      <c r="H59" s="14"/>
      <c r="I59" s="14"/>
      <c r="J59" s="14"/>
    </row>
    <row r="60" spans="1:10" x14ac:dyDescent="0.25">
      <c r="A60" s="133"/>
      <c r="B60" s="40"/>
      <c r="D60" s="14"/>
      <c r="E60" s="14"/>
      <c r="F60" s="14"/>
      <c r="G60" s="14"/>
      <c r="H60" s="14"/>
      <c r="I60" s="14"/>
      <c r="J60" s="14"/>
    </row>
    <row r="61" spans="1:10" x14ac:dyDescent="0.25">
      <c r="A61" s="133"/>
      <c r="B61" s="40"/>
      <c r="D61" s="14"/>
      <c r="E61" s="14"/>
      <c r="F61" s="14"/>
      <c r="G61" s="14"/>
      <c r="H61" s="14"/>
      <c r="I61" s="14"/>
      <c r="J61" s="14"/>
    </row>
    <row r="62" spans="1:10" x14ac:dyDescent="0.25">
      <c r="A62" s="133" t="s">
        <v>260</v>
      </c>
      <c r="B62" s="40">
        <v>15821</v>
      </c>
      <c r="D62" s="14"/>
      <c r="E62" s="14"/>
      <c r="F62" s="14"/>
      <c r="G62" s="14"/>
      <c r="H62" s="14"/>
      <c r="I62" s="14"/>
      <c r="J62" s="14"/>
    </row>
    <row r="63" spans="1:10" x14ac:dyDescent="0.25">
      <c r="A63" s="136" t="s">
        <v>21</v>
      </c>
      <c r="B63" s="135">
        <f>SUM(B40:B62)</f>
        <v>366347</v>
      </c>
      <c r="D63" s="14"/>
      <c r="E63" s="14"/>
      <c r="F63" s="14"/>
      <c r="G63" s="14"/>
      <c r="H63" s="14"/>
      <c r="I63" s="14"/>
      <c r="J63" s="14"/>
    </row>
    <row r="64" spans="1:10" x14ac:dyDescent="0.25">
      <c r="D64" s="14"/>
      <c r="E64" s="14"/>
      <c r="F64" s="14"/>
      <c r="G64" s="14"/>
      <c r="H64" s="14"/>
      <c r="I64" s="14"/>
      <c r="J64" s="14"/>
    </row>
    <row r="65" spans="1:10" x14ac:dyDescent="0.25">
      <c r="A65" s="23" t="s">
        <v>25</v>
      </c>
      <c r="B65" s="51"/>
      <c r="D65" s="14"/>
      <c r="E65" s="14"/>
      <c r="F65" s="14"/>
      <c r="G65" s="14"/>
      <c r="H65" s="14"/>
      <c r="I65" s="14"/>
      <c r="J65" s="14"/>
    </row>
    <row r="66" spans="1:10" x14ac:dyDescent="0.25">
      <c r="A66" s="42" t="s">
        <v>276</v>
      </c>
      <c r="B66" s="40">
        <v>45000</v>
      </c>
      <c r="D66" s="14"/>
      <c r="E66" s="14"/>
      <c r="F66" s="14"/>
      <c r="G66" s="14"/>
      <c r="H66" s="14"/>
      <c r="I66" s="14"/>
      <c r="J66" s="14"/>
    </row>
    <row r="67" spans="1:10" x14ac:dyDescent="0.25">
      <c r="A67" s="42" t="s">
        <v>240</v>
      </c>
      <c r="B67" s="40">
        <v>4500</v>
      </c>
      <c r="D67" s="14"/>
      <c r="E67" s="14"/>
      <c r="F67" s="14"/>
      <c r="G67" s="14"/>
      <c r="H67" s="14"/>
      <c r="I67" s="14"/>
      <c r="J67" s="14"/>
    </row>
    <row r="68" spans="1:10" x14ac:dyDescent="0.25">
      <c r="A68" s="49" t="s">
        <v>277</v>
      </c>
      <c r="B68" s="40">
        <v>45000</v>
      </c>
      <c r="D68" s="14"/>
      <c r="E68" s="14"/>
      <c r="F68" s="14"/>
      <c r="G68" s="14"/>
      <c r="H68" s="14"/>
      <c r="I68" s="14"/>
      <c r="J68" s="14"/>
    </row>
    <row r="69" spans="1:10" x14ac:dyDescent="0.25">
      <c r="A69" s="42" t="s">
        <v>278</v>
      </c>
      <c r="B69" s="40">
        <v>4500</v>
      </c>
      <c r="D69" s="14"/>
      <c r="E69" s="14"/>
      <c r="F69" s="14"/>
      <c r="G69" s="14"/>
      <c r="H69" s="14"/>
      <c r="I69" s="14"/>
      <c r="J69" s="14"/>
    </row>
    <row r="70" spans="1:10" x14ac:dyDescent="0.25">
      <c r="A70" s="43" t="s">
        <v>279</v>
      </c>
      <c r="B70" s="40">
        <v>125000</v>
      </c>
      <c r="D70" s="14"/>
      <c r="E70" s="14"/>
      <c r="F70" s="14"/>
      <c r="G70" s="14"/>
      <c r="H70" s="14"/>
      <c r="I70" s="14"/>
      <c r="J70" s="14"/>
    </row>
    <row r="71" spans="1:10" x14ac:dyDescent="0.25">
      <c r="A71" s="42" t="s">
        <v>280</v>
      </c>
      <c r="B71" s="40" t="s">
        <v>281</v>
      </c>
      <c r="D71" s="14"/>
      <c r="E71" s="14"/>
      <c r="F71" s="14"/>
      <c r="G71" s="14"/>
      <c r="H71" s="14"/>
      <c r="I71" s="14"/>
      <c r="J71" s="14"/>
    </row>
    <row r="72" spans="1:10" x14ac:dyDescent="0.25">
      <c r="A72" s="42"/>
      <c r="B72" s="40"/>
      <c r="D72" s="14"/>
      <c r="E72" s="14"/>
      <c r="F72" s="14"/>
      <c r="G72" s="14"/>
      <c r="H72" s="14"/>
      <c r="I72" s="14"/>
      <c r="J72" s="14"/>
    </row>
    <row r="73" spans="1:10" x14ac:dyDescent="0.25">
      <c r="A73" s="49"/>
      <c r="B73" s="40"/>
      <c r="D73" s="14"/>
      <c r="E73" s="14"/>
      <c r="F73" s="14"/>
      <c r="G73" s="14"/>
      <c r="H73" s="14"/>
      <c r="I73" s="14"/>
      <c r="J73" s="14"/>
    </row>
    <row r="74" spans="1:10" x14ac:dyDescent="0.25">
      <c r="A74" s="130" t="s">
        <v>260</v>
      </c>
      <c r="B74" s="40">
        <v>11200</v>
      </c>
      <c r="D74" s="14"/>
      <c r="E74" s="14"/>
      <c r="F74" s="14"/>
      <c r="G74" s="14"/>
      <c r="H74" s="14"/>
      <c r="I74" s="14"/>
      <c r="J74" s="14"/>
    </row>
    <row r="75" spans="1:10" x14ac:dyDescent="0.25">
      <c r="A75" s="44" t="s">
        <v>20</v>
      </c>
      <c r="B75" s="134">
        <f>SUM(B66:B74)</f>
        <v>235200</v>
      </c>
      <c r="D75" s="14"/>
      <c r="E75" s="14"/>
      <c r="F75" s="14"/>
      <c r="G75" s="14"/>
      <c r="H75" s="14"/>
      <c r="I75" s="14"/>
      <c r="J75" s="14"/>
    </row>
    <row r="76" spans="1:10" x14ac:dyDescent="0.25">
      <c r="A76" s="44"/>
      <c r="B76" s="50"/>
      <c r="D76" s="14"/>
      <c r="E76" s="14"/>
      <c r="F76" s="14"/>
      <c r="G76" s="14"/>
      <c r="H76" s="14"/>
      <c r="I76" s="14"/>
      <c r="J76" s="14"/>
    </row>
    <row r="77" spans="1:10" x14ac:dyDescent="0.25">
      <c r="D77" s="14"/>
      <c r="E77" s="14"/>
      <c r="F77" s="14"/>
      <c r="G77" s="14"/>
      <c r="H77" s="14"/>
      <c r="I77" s="14"/>
      <c r="J77" s="14"/>
    </row>
  </sheetData>
  <sheetProtection algorithmName="SHA-512" hashValue="uXNoBExGIeZ0zbPO9VklTcfIqTuNmALrtaEd9w4H38IW9AK5msZ/J8F4rBOFKmP0NPkcpbnUuMjNZRAuRfogoA==" saltValue="FL21f5VMykWBH0VHp4VbCg==" spinCount="100000" sheet="1" selectLockedCells="1" selectUnlockedCells="1"/>
  <protectedRanges>
    <protectedRange sqref="A3:A14" name="Range8"/>
    <protectedRange sqref="A31 B18 A18:A29 B20:B36 B3:B14 A69:A72 B66:B76 A66:A67 A33:A34" name="Range8_1"/>
    <protectedRange sqref="A48:A58 B46:B62 A40:B40 A42:B45 B41" name="Range8_2"/>
  </protectedRanges>
  <conditionalFormatting sqref="B18:B36 D18:J36 E40:J65 B42:B63 C42:C65 B66:B76 C66:J77">
    <cfRule type="cellIs" dxfId="175" priority="3" operator="equal">
      <formula>0</formula>
    </cfRule>
  </conditionalFormatting>
  <conditionalFormatting sqref="B2:J17">
    <cfRule type="cellIs" dxfId="174" priority="6" operator="equal">
      <formula>0</formula>
    </cfRule>
  </conditionalFormatting>
  <conditionalFormatting sqref="B37:J38 D39:J39 B39:C41">
    <cfRule type="cellIs" dxfId="173" priority="9" operator="equal">
      <formula>0</formula>
    </cfRule>
  </conditionalFormatting>
  <conditionalFormatting sqref="D63">
    <cfRule type="cellIs" dxfId="172"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D66B-B976-47BC-8924-BC5CFE41D014}">
  <sheetPr>
    <tabColor rgb="FF00B0F0"/>
    <pageSetUpPr fitToPage="1"/>
  </sheetPr>
  <dimension ref="A1:T107"/>
  <sheetViews>
    <sheetView showGridLines="0" zoomScale="115" zoomScaleNormal="115" workbookViewId="0">
      <pane xSplit="2" ySplit="1" topLeftCell="C7" activePane="bottomRight" state="frozen"/>
      <selection pane="topRight" activeCell="C1" sqref="C1"/>
      <selection pane="bottomLeft" activeCell="A2" sqref="A2"/>
      <selection pane="bottomRight" activeCell="F3" sqref="F3"/>
    </sheetView>
  </sheetViews>
  <sheetFormatPr defaultRowHeight="11.25" x14ac:dyDescent="0.2"/>
  <cols>
    <col min="1" max="1" width="1.7109375" style="62" customWidth="1"/>
    <col min="2" max="2" width="49.28515625" style="62" customWidth="1"/>
    <col min="3" max="3" width="2.28515625" style="62" customWidth="1"/>
    <col min="4" max="4" width="11.7109375" style="63" customWidth="1"/>
    <col min="5" max="5" width="1.7109375" style="63" customWidth="1"/>
    <col min="6" max="6" width="11.7109375" style="63" customWidth="1"/>
    <col min="7" max="7" width="1.7109375" style="63" customWidth="1"/>
    <col min="8" max="8" width="11.7109375" style="63" customWidth="1"/>
    <col min="9" max="9" width="2.28515625" style="62" customWidth="1"/>
    <col min="10" max="10" width="11.7109375" style="63" customWidth="1"/>
    <col min="11" max="11" width="1.7109375" style="63" customWidth="1"/>
    <col min="12" max="12" width="11.7109375" style="63" customWidth="1"/>
    <col min="13" max="13" width="1.7109375" style="63" customWidth="1"/>
    <col min="14" max="14" width="11.7109375" style="63" customWidth="1"/>
    <col min="15" max="15" width="2.28515625" style="62" customWidth="1"/>
    <col min="16" max="16" width="11.7109375" style="63" customWidth="1"/>
    <col min="17" max="17" width="1.7109375" style="63" customWidth="1"/>
    <col min="18" max="18" width="11.7109375" style="63" customWidth="1"/>
    <col min="19" max="19" width="1.7109375" style="63" customWidth="1"/>
    <col min="20" max="20" width="11.7109375" style="63" customWidth="1"/>
    <col min="21" max="16384" width="9.140625" style="62"/>
  </cols>
  <sheetData>
    <row r="1" spans="2:20" s="32" customFormat="1" ht="30" customHeight="1" x14ac:dyDescent="0.25">
      <c r="B1" s="64"/>
      <c r="D1" s="140" t="s">
        <v>179</v>
      </c>
      <c r="E1" s="140"/>
      <c r="F1" s="140"/>
      <c r="G1" s="140"/>
      <c r="H1" s="140"/>
      <c r="J1" s="141" t="s">
        <v>48</v>
      </c>
      <c r="K1" s="141"/>
      <c r="L1" s="141"/>
      <c r="M1" s="141"/>
      <c r="N1" s="141"/>
      <c r="P1" s="142" t="str">
        <f>IF(OR(P39="ERROR",R39="ERROR"),"ERROR","STRESS TWO")</f>
        <v>STRESS TWO</v>
      </c>
      <c r="Q1" s="142"/>
      <c r="R1" s="142"/>
      <c r="S1" s="142"/>
      <c r="T1" s="142"/>
    </row>
    <row r="2" spans="2:20" s="32" customFormat="1" ht="20.100000000000001" customHeight="1" x14ac:dyDescent="0.25">
      <c r="B2" s="37" t="s">
        <v>208</v>
      </c>
      <c r="D2" s="65" t="s">
        <v>28</v>
      </c>
      <c r="E2" s="66"/>
      <c r="F2" s="65" t="s">
        <v>29</v>
      </c>
      <c r="G2" s="66"/>
      <c r="H2" s="65" t="s">
        <v>21</v>
      </c>
      <c r="J2" s="65" t="s">
        <v>28</v>
      </c>
      <c r="K2" s="66"/>
      <c r="L2" s="65" t="s">
        <v>29</v>
      </c>
      <c r="M2" s="66"/>
      <c r="N2" s="65" t="s">
        <v>21</v>
      </c>
      <c r="P2" s="65" t="s">
        <v>28</v>
      </c>
      <c r="Q2" s="66"/>
      <c r="R2" s="65" t="s">
        <v>29</v>
      </c>
      <c r="S2" s="66"/>
      <c r="T2" s="65" t="s">
        <v>21</v>
      </c>
    </row>
    <row r="3" spans="2:20" s="32" customFormat="1" ht="20.100000000000001" customHeight="1" thickBot="1" x14ac:dyDescent="0.3">
      <c r="B3" s="2" t="s">
        <v>142</v>
      </c>
      <c r="D3" s="68">
        <f>INPUTS!$D$11</f>
        <v>180</v>
      </c>
      <c r="E3" s="66"/>
      <c r="F3" s="68">
        <f>INPUTS!$D$13</f>
        <v>120</v>
      </c>
      <c r="G3" s="66"/>
      <c r="H3" s="68">
        <f>SUM(D3:F3)</f>
        <v>300</v>
      </c>
      <c r="J3" s="68">
        <f>INPUTS!$F$11</f>
        <v>195</v>
      </c>
      <c r="K3" s="66"/>
      <c r="L3" s="68">
        <f>INPUTS!$F$13</f>
        <v>105</v>
      </c>
      <c r="M3" s="66"/>
      <c r="N3" s="68">
        <f>SUM(J3:L3)</f>
        <v>300</v>
      </c>
      <c r="P3" s="68">
        <f>INPUTS!$H$11</f>
        <v>210</v>
      </c>
      <c r="Q3" s="66"/>
      <c r="R3" s="68">
        <f>INPUTS!$H$13</f>
        <v>90</v>
      </c>
      <c r="S3" s="66"/>
      <c r="T3" s="68">
        <f>SUM(P3:R3)</f>
        <v>300</v>
      </c>
    </row>
    <row r="4" spans="2:20" s="6" customFormat="1" ht="20.100000000000001" customHeight="1" thickTop="1" thickBot="1" x14ac:dyDescent="0.3">
      <c r="B4" s="2" t="s">
        <v>141</v>
      </c>
      <c r="D4" s="98">
        <f>'Workings Core'!$D$7</f>
        <v>72</v>
      </c>
      <c r="E4" s="59"/>
      <c r="F4" s="98">
        <f>'Workings Core'!$G$7</f>
        <v>48</v>
      </c>
      <c r="G4" s="59"/>
      <c r="H4" s="98">
        <f>SUM(D4:F4)</f>
        <v>120</v>
      </c>
      <c r="J4" s="98">
        <f>'Workings Stress One'!$D$7</f>
        <v>68</v>
      </c>
      <c r="K4" s="59"/>
      <c r="L4" s="98">
        <f>'Workings Stress One'!$G$7</f>
        <v>37</v>
      </c>
      <c r="M4" s="59"/>
      <c r="N4" s="98">
        <f>SUM(J4:L4)</f>
        <v>105</v>
      </c>
      <c r="O4" s="32"/>
      <c r="P4" s="98">
        <f>'Workings Stress Two'!$D$7</f>
        <v>63</v>
      </c>
      <c r="Q4" s="59"/>
      <c r="R4" s="98">
        <f>'Workings Stress Two'!$G$7</f>
        <v>27</v>
      </c>
      <c r="S4" s="59"/>
      <c r="T4" s="98">
        <f>SUM(P4:R4)</f>
        <v>90</v>
      </c>
    </row>
    <row r="5" spans="2:20" s="6" customFormat="1" ht="20.100000000000001" customHeight="1" thickTop="1" thickBot="1" x14ac:dyDescent="0.3">
      <c r="B5" s="2" t="s">
        <v>175</v>
      </c>
      <c r="D5" s="98">
        <f>ROUNDUP(D4/(INPUTS!$D$3*INPUTS!$D$4),0)</f>
        <v>1</v>
      </c>
      <c r="E5" s="59"/>
      <c r="F5" s="98">
        <f>ROUNDUP(F4/(INPUTS!$D$3*INPUTS!$D$4),0)</f>
        <v>1</v>
      </c>
      <c r="G5" s="59"/>
      <c r="H5" s="98">
        <f>SUM(D5:F5)</f>
        <v>2</v>
      </c>
      <c r="J5" s="98">
        <f>ROUNDUP(J4/(INPUTS!$F$3*INPUTS!$F$4),0)</f>
        <v>1</v>
      </c>
      <c r="K5" s="59"/>
      <c r="L5" s="98">
        <f>ROUNDUP(L4/(INPUTS!$F$3*INPUTS!$F$4),0)</f>
        <v>1</v>
      </c>
      <c r="M5" s="59"/>
      <c r="N5" s="98">
        <f>SUM(J5:L5)</f>
        <v>2</v>
      </c>
      <c r="O5" s="32"/>
      <c r="P5" s="98">
        <f>ROUNDUP(P4/(INPUTS!$H$3*INPUTS!$H$4),0)</f>
        <v>1</v>
      </c>
      <c r="Q5" s="59"/>
      <c r="R5" s="98">
        <f>ROUNDUP(R4/(INPUTS!$H$3*INPUTS!$H$4),0)</f>
        <v>1</v>
      </c>
      <c r="S5" s="59"/>
      <c r="T5" s="98">
        <f>SUM(P5:R5)</f>
        <v>2</v>
      </c>
    </row>
    <row r="6" spans="2:20" s="6" customFormat="1" ht="20.100000000000001" customHeight="1" thickTop="1" thickBot="1" x14ac:dyDescent="0.3">
      <c r="B6" s="2" t="s">
        <v>206</v>
      </c>
      <c r="D6" s="98">
        <f>'Workings Core'!$I$41</f>
        <v>3</v>
      </c>
      <c r="E6" s="59"/>
      <c r="F6" s="98">
        <f>'Workings Core'!$I$88</f>
        <v>36</v>
      </c>
      <c r="G6" s="59"/>
      <c r="H6" s="98">
        <f>SUM(D6:F6)</f>
        <v>39</v>
      </c>
      <c r="J6" s="98">
        <f>'Workings Stress One'!$I$41</f>
        <v>8</v>
      </c>
      <c r="K6" s="59"/>
      <c r="L6" s="98">
        <f>'Workings Stress One'!$I$88</f>
        <v>25</v>
      </c>
      <c r="M6" s="59"/>
      <c r="N6" s="98">
        <f>SUM(J6:L6)</f>
        <v>33</v>
      </c>
      <c r="O6" s="32"/>
      <c r="P6" s="98">
        <f>'Workings Stress Two'!$I$41</f>
        <v>8</v>
      </c>
      <c r="Q6" s="59"/>
      <c r="R6" s="98">
        <f>'Workings Stress Two'!$I$88</f>
        <v>15</v>
      </c>
      <c r="S6" s="59"/>
      <c r="T6" s="98">
        <f>SUM(P6:R6)</f>
        <v>23</v>
      </c>
    </row>
    <row r="7" spans="2:20" s="32" customFormat="1" ht="20.100000000000001" customHeight="1" thickTop="1" thickBot="1" x14ac:dyDescent="0.3">
      <c r="B7" s="2" t="s">
        <v>203</v>
      </c>
      <c r="D7" s="107"/>
      <c r="E7" s="66"/>
      <c r="F7" s="107"/>
      <c r="G7" s="66"/>
      <c r="H7" s="123">
        <f>'Workings Core'!$G$133</f>
        <v>5143333</v>
      </c>
      <c r="J7" s="107"/>
      <c r="K7" s="107"/>
      <c r="L7" s="107"/>
      <c r="M7" s="66"/>
      <c r="N7" s="123">
        <f>'Workings Stress One'!$G$133</f>
        <v>4439996</v>
      </c>
      <c r="P7" s="107"/>
      <c r="Q7" s="107"/>
      <c r="R7" s="107"/>
      <c r="S7" s="66"/>
      <c r="T7" s="123">
        <f>'Workings Stress Two'!$G$133</f>
        <v>3384344</v>
      </c>
    </row>
    <row r="8" spans="2:20" s="32" customFormat="1" ht="20.100000000000001" customHeight="1" thickTop="1" x14ac:dyDescent="0.25">
      <c r="B8" s="2" t="s">
        <v>181</v>
      </c>
      <c r="D8" s="125"/>
      <c r="E8" s="126" t="s">
        <v>207</v>
      </c>
      <c r="F8" s="124">
        <f>ROUND(H8/H7,4)</f>
        <v>0.83709999999999996</v>
      </c>
      <c r="G8" s="66"/>
      <c r="H8" s="108">
        <f>'Workings Core'!$D$133</f>
        <v>4305496</v>
      </c>
      <c r="J8" s="125"/>
      <c r="K8" s="126" t="s">
        <v>207</v>
      </c>
      <c r="L8" s="124">
        <f>ROUND(N8/N7,4)</f>
        <v>0.84489999999999998</v>
      </c>
      <c r="M8" s="66"/>
      <c r="N8" s="108">
        <f>'Workings Stress One'!$D$133</f>
        <v>3751165</v>
      </c>
      <c r="P8" s="125"/>
      <c r="Q8" s="126" t="s">
        <v>207</v>
      </c>
      <c r="R8" s="124">
        <f>ROUND(T8/T7,4)</f>
        <v>0.84650000000000003</v>
      </c>
      <c r="S8" s="66"/>
      <c r="T8" s="108">
        <f>'Workings Stress Two'!$D$133</f>
        <v>2864872</v>
      </c>
    </row>
    <row r="9" spans="2:20" s="32" customFormat="1" ht="20.100000000000001" customHeight="1" x14ac:dyDescent="0.25">
      <c r="B9" s="2" t="s">
        <v>212</v>
      </c>
      <c r="D9" s="107"/>
      <c r="E9" s="66"/>
      <c r="F9" s="107"/>
      <c r="G9" s="66"/>
      <c r="H9" s="107">
        <f>-SUM($H$25:$H$27)</f>
        <v>1201547</v>
      </c>
      <c r="J9" s="107"/>
      <c r="K9" s="66"/>
      <c r="L9" s="107"/>
      <c r="M9" s="66"/>
      <c r="N9" s="107">
        <f>-SUM($H$25:$H$27)</f>
        <v>1201547</v>
      </c>
      <c r="P9" s="107"/>
      <c r="Q9" s="66"/>
      <c r="R9" s="107"/>
      <c r="S9" s="66"/>
      <c r="T9" s="107">
        <f>-SUM($H$25:$H$27)</f>
        <v>1201547</v>
      </c>
    </row>
    <row r="10" spans="2:20" s="32" customFormat="1" ht="20.100000000000001" customHeight="1" thickBot="1" x14ac:dyDescent="0.3">
      <c r="B10" s="2" t="s">
        <v>182</v>
      </c>
      <c r="D10" s="107"/>
      <c r="E10" s="66"/>
      <c r="F10" s="107"/>
      <c r="G10" s="66"/>
      <c r="H10" s="109">
        <f>SUM(H8:H9)</f>
        <v>5507043</v>
      </c>
      <c r="J10" s="107"/>
      <c r="K10" s="66"/>
      <c r="L10" s="107"/>
      <c r="M10" s="66"/>
      <c r="N10" s="109">
        <f>SUM(N8:N9)</f>
        <v>4952712</v>
      </c>
      <c r="P10" s="107"/>
      <c r="Q10" s="66"/>
      <c r="R10" s="107"/>
      <c r="S10" s="66"/>
      <c r="T10" s="109">
        <f>SUM(T8:T9)</f>
        <v>4066419</v>
      </c>
    </row>
    <row r="11" spans="2:20" s="32" customFormat="1" ht="20.100000000000001" customHeight="1" thickTop="1" thickBot="1" x14ac:dyDescent="0.3">
      <c r="B11" s="2" t="s">
        <v>183</v>
      </c>
      <c r="D11" s="107"/>
      <c r="E11" s="66"/>
      <c r="F11" s="107"/>
      <c r="G11" s="66"/>
      <c r="H11" s="69">
        <f>$H$60</f>
        <v>0.23960000000000001</v>
      </c>
      <c r="J11" s="107"/>
      <c r="K11" s="66"/>
      <c r="L11" s="107"/>
      <c r="M11" s="66"/>
      <c r="N11" s="69">
        <f>$N$60</f>
        <v>0.1676</v>
      </c>
      <c r="P11" s="107"/>
      <c r="Q11" s="66"/>
      <c r="R11" s="107"/>
      <c r="S11" s="66"/>
      <c r="T11" s="69">
        <f>$T$60</f>
        <v>0.1048</v>
      </c>
    </row>
    <row r="12" spans="2:20" s="32" customFormat="1" ht="8.1" customHeight="1" thickTop="1" x14ac:dyDescent="0.25">
      <c r="D12" s="65"/>
      <c r="E12" s="66"/>
      <c r="F12" s="65"/>
      <c r="G12" s="66"/>
      <c r="H12" s="65"/>
      <c r="J12" s="65"/>
      <c r="K12" s="66"/>
      <c r="L12" s="65"/>
      <c r="M12" s="66"/>
      <c r="N12" s="65"/>
      <c r="P12" s="65"/>
      <c r="Q12" s="66"/>
      <c r="R12" s="65"/>
      <c r="S12" s="66"/>
      <c r="T12" s="65"/>
    </row>
    <row r="13" spans="2:20" s="32" customFormat="1" ht="30" customHeight="1" x14ac:dyDescent="0.25">
      <c r="B13" s="64"/>
      <c r="D13" s="140" t="s">
        <v>179</v>
      </c>
      <c r="E13" s="140"/>
      <c r="F13" s="140"/>
      <c r="G13" s="140"/>
      <c r="H13" s="140"/>
      <c r="J13" s="141" t="s">
        <v>48</v>
      </c>
      <c r="K13" s="141"/>
      <c r="L13" s="141"/>
      <c r="M13" s="141"/>
      <c r="N13" s="141"/>
      <c r="P13" s="142" t="str">
        <f>IF(OR(P51="ERROR",R51="ERROR"),"ERROR","STRESS TWO")</f>
        <v>STRESS TWO</v>
      </c>
      <c r="Q13" s="142"/>
      <c r="R13" s="142"/>
      <c r="S13" s="142"/>
      <c r="T13" s="142"/>
    </row>
    <row r="14" spans="2:20" ht="20.100000000000001" customHeight="1" x14ac:dyDescent="0.2">
      <c r="B14" s="37" t="s">
        <v>86</v>
      </c>
      <c r="D14" s="67" t="s">
        <v>45</v>
      </c>
      <c r="F14" s="67" t="s">
        <v>45</v>
      </c>
      <c r="H14" s="67" t="s">
        <v>45</v>
      </c>
      <c r="J14" s="67" t="s">
        <v>45</v>
      </c>
      <c r="L14" s="67" t="s">
        <v>45</v>
      </c>
      <c r="N14" s="67" t="s">
        <v>45</v>
      </c>
      <c r="O14" s="32"/>
      <c r="P14" s="67" t="s">
        <v>45</v>
      </c>
      <c r="R14" s="67" t="s">
        <v>45</v>
      </c>
      <c r="T14" s="67" t="s">
        <v>45</v>
      </c>
    </row>
    <row r="15" spans="2:20" ht="20.100000000000001" customHeight="1" x14ac:dyDescent="0.2">
      <c r="B15" s="2" t="s">
        <v>143</v>
      </c>
      <c r="D15" s="59">
        <f>'Workings Core'!$D$16</f>
        <v>18700</v>
      </c>
      <c r="E15" s="59"/>
      <c r="F15" s="59">
        <f>'Workings Core'!$G$16</f>
        <v>12580</v>
      </c>
      <c r="G15" s="59"/>
      <c r="H15" s="59">
        <f>SUM(D15:G15)</f>
        <v>31280</v>
      </c>
      <c r="J15" s="59">
        <f>'Workings Stress One'!$D$16</f>
        <v>15300</v>
      </c>
      <c r="K15" s="59"/>
      <c r="L15" s="59">
        <f>'Workings Stress One'!$G$16</f>
        <v>8500</v>
      </c>
      <c r="M15" s="59"/>
      <c r="N15" s="59">
        <f>SUM(J15:M15)</f>
        <v>23800</v>
      </c>
      <c r="O15" s="32"/>
      <c r="P15" s="59">
        <f>'Workings Stress Two'!$D$16</f>
        <v>12240</v>
      </c>
      <c r="Q15" s="59"/>
      <c r="R15" s="59">
        <f>'Workings Stress Two'!$G$16</f>
        <v>5100</v>
      </c>
      <c r="S15" s="59"/>
      <c r="T15" s="59">
        <f>SUM(P15:S15)</f>
        <v>17340</v>
      </c>
    </row>
    <row r="16" spans="2:20" ht="20.100000000000001" customHeight="1" x14ac:dyDescent="0.2">
      <c r="B16" s="2" t="s">
        <v>144</v>
      </c>
      <c r="D16" s="59">
        <f>'Workings Core'!$D$18+'Workings Core'!$D$17</f>
        <v>-680</v>
      </c>
      <c r="E16" s="59"/>
      <c r="F16" s="59">
        <f>'Workings Core'!$G$18+'Workings Core'!$D$17</f>
        <v>-1020</v>
      </c>
      <c r="G16" s="59"/>
      <c r="H16" s="59">
        <f>SUM(D16:G16)</f>
        <v>-1700</v>
      </c>
      <c r="J16" s="59">
        <f>'Workings Stress One'!$D$18+'Workings Stress One'!$D$17</f>
        <v>-1360</v>
      </c>
      <c r="K16" s="59"/>
      <c r="L16" s="59">
        <f>'Workings Stress One'!$G$18+'Workings Stress One'!$G$17</f>
        <v>-340</v>
      </c>
      <c r="M16" s="59"/>
      <c r="N16" s="59">
        <f>SUM(J16:M16)</f>
        <v>-1700</v>
      </c>
      <c r="O16" s="32"/>
      <c r="P16" s="59">
        <f>'Workings Stress Two'!$D$18+'Workings Stress Two'!$D$17</f>
        <v>0</v>
      </c>
      <c r="Q16" s="59"/>
      <c r="R16" s="59">
        <f>'Workings Stress Two'!$G$18+'Workings Stress Two'!$G$17</f>
        <v>0</v>
      </c>
      <c r="S16" s="59"/>
      <c r="T16" s="59">
        <f>SUM(P16:S16)</f>
        <v>0</v>
      </c>
    </row>
    <row r="17" spans="2:20" ht="20.100000000000001" customHeight="1" x14ac:dyDescent="0.2">
      <c r="B17" s="2"/>
      <c r="D17" s="61">
        <f>SUM(D15:D16)</f>
        <v>18020</v>
      </c>
      <c r="E17" s="59"/>
      <c r="F17" s="61">
        <f>SUM(F15:F16)</f>
        <v>11560</v>
      </c>
      <c r="G17" s="59"/>
      <c r="H17" s="61">
        <f>SUM(H15:H16)</f>
        <v>29580</v>
      </c>
      <c r="J17" s="61">
        <f>SUM(J15:J16)</f>
        <v>13940</v>
      </c>
      <c r="K17" s="59"/>
      <c r="L17" s="61">
        <f>SUM(L15:L16)</f>
        <v>8160</v>
      </c>
      <c r="M17" s="59"/>
      <c r="N17" s="61">
        <f>SUM(N15:N16)</f>
        <v>22100</v>
      </c>
      <c r="O17" s="32"/>
      <c r="P17" s="61">
        <f>SUM(P15:P16)</f>
        <v>12240</v>
      </c>
      <c r="Q17" s="59"/>
      <c r="R17" s="61">
        <f>SUM(R15:R16)</f>
        <v>5100</v>
      </c>
      <c r="S17" s="59"/>
      <c r="T17" s="61">
        <f>SUM(T15:T16)</f>
        <v>17340</v>
      </c>
    </row>
    <row r="18" spans="2:20" ht="20.100000000000001" customHeight="1" x14ac:dyDescent="0.2">
      <c r="B18" s="2" t="s">
        <v>145</v>
      </c>
      <c r="D18" s="59">
        <f>'Workings Core'!$D$22</f>
        <v>-16983</v>
      </c>
      <c r="E18" s="59"/>
      <c r="F18" s="59">
        <f>'Workings Core'!$G$22</f>
        <v>-10989</v>
      </c>
      <c r="G18" s="59"/>
      <c r="H18" s="59">
        <f>SUM(D18:G18)</f>
        <v>-27972</v>
      </c>
      <c r="J18" s="59">
        <f>'Workings Stress One'!$D$22</f>
        <v>-13653</v>
      </c>
      <c r="K18" s="59"/>
      <c r="L18" s="59">
        <f>'Workings Stress One'!$G$22</f>
        <v>-7992</v>
      </c>
      <c r="M18" s="59"/>
      <c r="N18" s="59">
        <f>SUM(J18:M18)</f>
        <v>-21645</v>
      </c>
      <c r="O18" s="32"/>
      <c r="P18" s="59">
        <f>'Workings Stress Two'!$D$22</f>
        <v>-11988</v>
      </c>
      <c r="Q18" s="59"/>
      <c r="R18" s="59">
        <f>'Workings Stress Two'!$G$22</f>
        <v>-4995</v>
      </c>
      <c r="S18" s="59"/>
      <c r="T18" s="59">
        <f>SUM(P18:S18)</f>
        <v>-16983</v>
      </c>
    </row>
    <row r="19" spans="2:20" ht="20.100000000000001" customHeight="1" x14ac:dyDescent="0.2">
      <c r="B19" s="27" t="s">
        <v>146</v>
      </c>
      <c r="D19" s="59">
        <f>'Workings Core'!$D$13</f>
        <v>-1440</v>
      </c>
      <c r="E19" s="59"/>
      <c r="F19" s="59">
        <f>'Workings Core'!$G$13</f>
        <v>-960</v>
      </c>
      <c r="G19" s="59"/>
      <c r="H19" s="59">
        <f>SUM(D19:G19)</f>
        <v>-2400</v>
      </c>
      <c r="J19" s="59">
        <f>'Workings Stress One'!$D$13</f>
        <v>-1560</v>
      </c>
      <c r="K19" s="59"/>
      <c r="L19" s="59">
        <f>'Workings Stress One'!$G$13</f>
        <v>-840</v>
      </c>
      <c r="M19" s="59"/>
      <c r="N19" s="59">
        <f>SUM(J19:M19)</f>
        <v>-2400</v>
      </c>
      <c r="O19" s="32"/>
      <c r="P19" s="59">
        <f>'Workings Stress Two'!$D$13</f>
        <v>-1680</v>
      </c>
      <c r="Q19" s="59"/>
      <c r="R19" s="59">
        <f>'Workings Stress Two'!$G$13</f>
        <v>-720</v>
      </c>
      <c r="S19" s="59"/>
      <c r="T19" s="59">
        <f>SUM(P19:S19)</f>
        <v>-2400</v>
      </c>
    </row>
    <row r="20" spans="2:20" ht="20.100000000000001" customHeight="1" x14ac:dyDescent="0.2">
      <c r="B20" s="2" t="s">
        <v>147</v>
      </c>
      <c r="D20" s="61">
        <f>SUM(D17:D19)</f>
        <v>-403</v>
      </c>
      <c r="E20" s="59"/>
      <c r="F20" s="61">
        <f>SUM(F17:F19)</f>
        <v>-389</v>
      </c>
      <c r="G20" s="59"/>
      <c r="H20" s="61">
        <f>SUM(H17:H19)</f>
        <v>-792</v>
      </c>
      <c r="J20" s="61">
        <f>SUM(J17:J19)</f>
        <v>-1273</v>
      </c>
      <c r="K20" s="59"/>
      <c r="L20" s="61">
        <f>SUM(L17:L19)</f>
        <v>-672</v>
      </c>
      <c r="M20" s="59"/>
      <c r="N20" s="61">
        <f>SUM(N17:N19)</f>
        <v>-1945</v>
      </c>
      <c r="O20" s="32"/>
      <c r="P20" s="61">
        <f>SUM(P17:P19)</f>
        <v>-1428</v>
      </c>
      <c r="Q20" s="59"/>
      <c r="R20" s="61">
        <f>SUM(R17:R19)</f>
        <v>-615</v>
      </c>
      <c r="S20" s="59"/>
      <c r="T20" s="61">
        <f>SUM(T17:T19)</f>
        <v>-2043</v>
      </c>
    </row>
    <row r="21" spans="2:20" ht="20.100000000000001" customHeight="1" x14ac:dyDescent="0.2">
      <c r="B21" s="27" t="s">
        <v>148</v>
      </c>
      <c r="D21" s="59">
        <f>'Workings Core'!$I$54</f>
        <v>261450</v>
      </c>
      <c r="E21" s="59"/>
      <c r="F21" s="59">
        <v>0</v>
      </c>
      <c r="G21" s="59"/>
      <c r="H21" s="59">
        <f>SUM(D21:G21)</f>
        <v>261450</v>
      </c>
      <c r="J21" s="59">
        <f>'Workings Stress One'!$I$54</f>
        <v>258600</v>
      </c>
      <c r="K21" s="59"/>
      <c r="L21" s="59">
        <v>0</v>
      </c>
      <c r="M21" s="59"/>
      <c r="N21" s="59">
        <f>SUM(J21:M21)</f>
        <v>258600</v>
      </c>
      <c r="O21" s="32"/>
      <c r="P21" s="59">
        <f>'Workings Stress Two'!$I$54</f>
        <v>250650</v>
      </c>
      <c r="Q21" s="59"/>
      <c r="R21" s="59">
        <v>0</v>
      </c>
      <c r="S21" s="59"/>
      <c r="T21" s="59">
        <f>SUM(P21:S21)</f>
        <v>250650</v>
      </c>
    </row>
    <row r="22" spans="2:20" ht="20.100000000000001" customHeight="1" x14ac:dyDescent="0.2">
      <c r="B22" s="2" t="s">
        <v>149</v>
      </c>
      <c r="D22" s="59">
        <f>ROUND(INPUTS!$D$14*'Workings Core'!$I$40,0)</f>
        <v>-49000</v>
      </c>
      <c r="E22" s="59"/>
      <c r="F22" s="59">
        <f>ROUND(INPUTS!$D$14*'Workings Core'!$I$87,0)</f>
        <v>0</v>
      </c>
      <c r="G22" s="59"/>
      <c r="H22" s="59">
        <f>SUM(D22:G22)</f>
        <v>-49000</v>
      </c>
      <c r="J22" s="59">
        <f>ROUND(INPUTS!$F$14*'Workings Stress One'!$I$40,0)</f>
        <v>-34000</v>
      </c>
      <c r="K22" s="59"/>
      <c r="L22" s="59">
        <f>ROUND(INPUTS!$F$14*'Workings Stress One'!$I$87,0)</f>
        <v>0</v>
      </c>
      <c r="M22" s="59"/>
      <c r="N22" s="59">
        <f>SUM(J22:M22)</f>
        <v>-34000</v>
      </c>
      <c r="O22" s="32"/>
      <c r="P22" s="59">
        <f>ROUND(INPUTS!$F$14*'Workings Stress Two'!$I$40,0)</f>
        <v>-26000</v>
      </c>
      <c r="Q22" s="59"/>
      <c r="R22" s="59">
        <f>ROUND(INPUTS!$F$14*'Workings Stress Two'!$I$87,0)</f>
        <v>0</v>
      </c>
      <c r="S22" s="59"/>
      <c r="T22" s="59">
        <f>SUM(P22:S22)</f>
        <v>-26000</v>
      </c>
    </row>
    <row r="23" spans="2:20" ht="20.100000000000001" customHeight="1" x14ac:dyDescent="0.2">
      <c r="B23" s="27" t="s">
        <v>150</v>
      </c>
      <c r="D23" s="59">
        <f>'Workings Core'!$I$69</f>
        <v>73428</v>
      </c>
      <c r="E23" s="59"/>
      <c r="F23" s="59">
        <f>'Workings Core'!$I$110</f>
        <v>2075436</v>
      </c>
      <c r="G23" s="59"/>
      <c r="H23" s="59">
        <f>SUM(D23:G23)</f>
        <v>2148864</v>
      </c>
      <c r="J23" s="59">
        <f>'Workings Stress One'!$I$69</f>
        <v>174638</v>
      </c>
      <c r="K23" s="59"/>
      <c r="L23" s="59">
        <f>'Workings Stress One'!$I$110</f>
        <v>1310828</v>
      </c>
      <c r="M23" s="59"/>
      <c r="N23" s="59">
        <f>SUM(J23:M23)</f>
        <v>1485466</v>
      </c>
      <c r="O23" s="32"/>
      <c r="P23" s="59">
        <f>'Workings Stress Two'!$I$69</f>
        <v>176148</v>
      </c>
      <c r="Q23" s="59"/>
      <c r="R23" s="59">
        <f>'Workings Stress Two'!$I$110</f>
        <v>771115</v>
      </c>
      <c r="S23" s="59"/>
      <c r="T23" s="59">
        <f>SUM(P23:S23)</f>
        <v>947263</v>
      </c>
    </row>
    <row r="24" spans="2:20" ht="20.100000000000001" customHeight="1" thickBot="1" x14ac:dyDescent="0.25">
      <c r="D24" s="60">
        <f>SUM(D20:D23)</f>
        <v>285475</v>
      </c>
      <c r="E24" s="59"/>
      <c r="F24" s="60">
        <f>SUM(F20:F23)</f>
        <v>2075047</v>
      </c>
      <c r="G24" s="59"/>
      <c r="H24" s="61">
        <f>SUM(H20:H23)</f>
        <v>2360522</v>
      </c>
      <c r="J24" s="60">
        <f>SUM(J20:J23)</f>
        <v>397965</v>
      </c>
      <c r="K24" s="59"/>
      <c r="L24" s="60">
        <f>SUM(L20:L23)</f>
        <v>1310156</v>
      </c>
      <c r="M24" s="59"/>
      <c r="N24" s="61">
        <f>SUM(N20:N23)</f>
        <v>1708121</v>
      </c>
      <c r="O24" s="32"/>
      <c r="P24" s="60">
        <f>SUM(P20:P23)</f>
        <v>399370</v>
      </c>
      <c r="Q24" s="59"/>
      <c r="R24" s="60">
        <f>SUM(R20:R23)</f>
        <v>770500</v>
      </c>
      <c r="S24" s="59"/>
      <c r="T24" s="61">
        <f>SUM(T20:T23)</f>
        <v>1169870</v>
      </c>
    </row>
    <row r="25" spans="2:20" ht="20.100000000000001" customHeight="1" thickTop="1" x14ac:dyDescent="0.2">
      <c r="B25" s="2" t="s">
        <v>209</v>
      </c>
      <c r="D25" s="62"/>
      <c r="E25" s="59"/>
      <c r="F25" s="59"/>
      <c r="G25" s="59"/>
      <c r="H25" s="59">
        <f>-COSTS!$B$63</f>
        <v>-366347</v>
      </c>
      <c r="J25" s="62"/>
      <c r="K25" s="59"/>
      <c r="L25" s="59"/>
      <c r="M25" s="59"/>
      <c r="N25" s="59">
        <f>-COSTS!$B$63</f>
        <v>-366347</v>
      </c>
      <c r="O25" s="32"/>
      <c r="P25" s="62"/>
      <c r="Q25" s="59"/>
      <c r="R25" s="59"/>
      <c r="S25" s="59"/>
      <c r="T25" s="59">
        <f>-COSTS!$B$63</f>
        <v>-366347</v>
      </c>
    </row>
    <row r="26" spans="2:20" ht="20.100000000000001" customHeight="1" x14ac:dyDescent="0.2">
      <c r="B26" s="2" t="s">
        <v>210</v>
      </c>
      <c r="D26" s="62"/>
      <c r="E26" s="59"/>
      <c r="F26" s="59"/>
      <c r="G26" s="59"/>
      <c r="H26" s="59">
        <f>-COSTS!$B$75</f>
        <v>-235200</v>
      </c>
      <c r="J26" s="62"/>
      <c r="K26" s="59"/>
      <c r="L26" s="59"/>
      <c r="M26" s="59"/>
      <c r="N26" s="59">
        <f>-COSTS!$B$75</f>
        <v>-235200</v>
      </c>
      <c r="O26" s="32"/>
      <c r="P26" s="62"/>
      <c r="Q26" s="59"/>
      <c r="R26" s="59"/>
      <c r="S26" s="59"/>
      <c r="T26" s="59">
        <f>-COSTS!$B$75</f>
        <v>-235200</v>
      </c>
    </row>
    <row r="27" spans="2:20" ht="20.100000000000001" customHeight="1" x14ac:dyDescent="0.2">
      <c r="B27" s="2" t="s">
        <v>211</v>
      </c>
      <c r="D27" s="59"/>
      <c r="E27" s="59"/>
      <c r="F27" s="59"/>
      <c r="G27" s="59"/>
      <c r="H27" s="59">
        <f>-COSTS!$B$35</f>
        <v>-600000</v>
      </c>
      <c r="J27" s="59"/>
      <c r="K27" s="59"/>
      <c r="L27" s="59"/>
      <c r="M27" s="59"/>
      <c r="N27" s="59">
        <f>-COSTS!$B$35</f>
        <v>-600000</v>
      </c>
      <c r="O27" s="32"/>
      <c r="P27" s="59"/>
      <c r="Q27" s="59"/>
      <c r="R27" s="59"/>
      <c r="S27" s="59"/>
      <c r="T27" s="59">
        <f>-COSTS!$B$35</f>
        <v>-600000</v>
      </c>
    </row>
    <row r="28" spans="2:20" ht="20.100000000000001" customHeight="1" x14ac:dyDescent="0.2">
      <c r="B28" s="2" t="s">
        <v>40</v>
      </c>
      <c r="D28" s="59"/>
      <c r="E28" s="59"/>
      <c r="F28" s="59"/>
      <c r="G28" s="59"/>
      <c r="H28" s="61">
        <f>SUM(H24:H27)</f>
        <v>1158975</v>
      </c>
      <c r="J28" s="59"/>
      <c r="K28" s="59"/>
      <c r="L28" s="59"/>
      <c r="M28" s="59"/>
      <c r="N28" s="61">
        <f>SUM(N24:N27)</f>
        <v>506574</v>
      </c>
      <c r="O28" s="32"/>
      <c r="P28" s="59"/>
      <c r="Q28" s="59"/>
      <c r="R28" s="59"/>
      <c r="S28" s="59"/>
      <c r="T28" s="61">
        <f>SUM(T24:T27)</f>
        <v>-31677</v>
      </c>
    </row>
    <row r="29" spans="2:20" s="41" customFormat="1" ht="20.100000000000001" customHeight="1" x14ac:dyDescent="0.2">
      <c r="B29" s="99" t="s">
        <v>83</v>
      </c>
      <c r="C29" s="46"/>
      <c r="D29" s="100"/>
      <c r="E29" s="100"/>
      <c r="F29" s="100"/>
      <c r="G29" s="100"/>
      <c r="H29" s="100">
        <f>ROUND($H$28*-INPUTS!$D$6,0)</f>
        <v>-57949</v>
      </c>
      <c r="J29" s="100"/>
      <c r="K29" s="100"/>
      <c r="L29" s="100"/>
      <c r="M29" s="100"/>
      <c r="N29" s="100">
        <f>ROUND($H$28*-INPUTS!$F$6,0)</f>
        <v>-57949</v>
      </c>
      <c r="O29" s="32"/>
      <c r="P29" s="100"/>
      <c r="Q29" s="100"/>
      <c r="R29" s="100"/>
      <c r="S29" s="100"/>
      <c r="T29" s="100">
        <f>ROUND($H$28*-INPUTS!$F$6,0)</f>
        <v>-57949</v>
      </c>
    </row>
    <row r="30" spans="2:20" ht="20.100000000000001" customHeight="1" x14ac:dyDescent="0.2">
      <c r="B30" s="2"/>
      <c r="D30" s="59"/>
      <c r="E30" s="59"/>
      <c r="F30" s="59"/>
      <c r="G30" s="59"/>
      <c r="H30" s="61">
        <f>SUM(H28:H29)</f>
        <v>1101026</v>
      </c>
      <c r="J30" s="59"/>
      <c r="K30" s="59"/>
      <c r="L30" s="59"/>
      <c r="M30" s="59"/>
      <c r="N30" s="61">
        <f>SUM(N28:N29)</f>
        <v>448625</v>
      </c>
      <c r="O30" s="32"/>
      <c r="P30" s="59"/>
      <c r="Q30" s="59"/>
      <c r="R30" s="59"/>
      <c r="S30" s="59"/>
      <c r="T30" s="61">
        <f>SUM(T28:T29)</f>
        <v>-89626</v>
      </c>
    </row>
    <row r="31" spans="2:20" ht="20.100000000000001" customHeight="1" x14ac:dyDescent="0.2">
      <c r="B31" s="2" t="s">
        <v>43</v>
      </c>
      <c r="D31" s="59"/>
      <c r="E31" s="59"/>
      <c r="F31" s="59"/>
      <c r="G31" s="59"/>
      <c r="H31" s="59">
        <f>ROUND(-INPUTS!$D$5*SUMMARY!$H$28,0)</f>
        <v>-289744</v>
      </c>
      <c r="J31" s="59"/>
      <c r="K31" s="59"/>
      <c r="L31" s="59"/>
      <c r="M31" s="59"/>
      <c r="N31" s="59">
        <f>ROUND(-INPUTS!$F$5*SUMMARY!$N$28,0)</f>
        <v>-126644</v>
      </c>
      <c r="O31" s="32"/>
      <c r="P31" s="59"/>
      <c r="Q31" s="59"/>
      <c r="R31" s="59"/>
      <c r="S31" s="59"/>
      <c r="T31" s="59">
        <f>ROUND(-INPUTS!$F$5*SUMMARY!$T$28,0)</f>
        <v>7919</v>
      </c>
    </row>
    <row r="32" spans="2:20" ht="20.100000000000001" customHeight="1" thickBot="1" x14ac:dyDescent="0.25">
      <c r="B32" s="2" t="s">
        <v>44</v>
      </c>
      <c r="D32" s="59"/>
      <c r="E32" s="59"/>
      <c r="F32" s="59"/>
      <c r="G32" s="59"/>
      <c r="H32" s="60">
        <f>SUM(H30:H31)</f>
        <v>811282</v>
      </c>
      <c r="J32" s="59"/>
      <c r="K32" s="59"/>
      <c r="L32" s="59"/>
      <c r="M32" s="59"/>
      <c r="N32" s="60">
        <f>SUM(N30:N31)</f>
        <v>321981</v>
      </c>
      <c r="O32" s="32"/>
      <c r="P32" s="59"/>
      <c r="Q32" s="59"/>
      <c r="R32" s="59"/>
      <c r="S32" s="59"/>
      <c r="T32" s="60">
        <f>SUM(T30:T31)</f>
        <v>-81707</v>
      </c>
    </row>
    <row r="33" spans="1:20" ht="8.1" customHeight="1" thickTop="1" x14ac:dyDescent="0.2">
      <c r="B33" s="2"/>
      <c r="D33" s="59"/>
      <c r="E33" s="59"/>
      <c r="F33" s="59"/>
      <c r="G33" s="59"/>
      <c r="H33" s="59"/>
      <c r="J33" s="59"/>
      <c r="K33" s="59"/>
      <c r="L33" s="59"/>
      <c r="M33" s="59"/>
      <c r="N33" s="59"/>
      <c r="O33" s="32"/>
      <c r="P33" s="59"/>
      <c r="Q33" s="59"/>
      <c r="R33" s="59"/>
      <c r="S33" s="59"/>
      <c r="T33" s="59"/>
    </row>
    <row r="34" spans="1:20" s="111" customFormat="1" ht="15" customHeight="1" x14ac:dyDescent="0.15">
      <c r="B34" s="37" t="s">
        <v>194</v>
      </c>
      <c r="D34" s="113"/>
      <c r="E34" s="113"/>
      <c r="F34" s="113"/>
      <c r="G34" s="113"/>
      <c r="H34" s="113"/>
      <c r="J34" s="113"/>
      <c r="K34" s="113"/>
      <c r="L34" s="113"/>
      <c r="M34" s="113"/>
      <c r="N34" s="113"/>
      <c r="O34" s="114"/>
      <c r="P34" s="113"/>
      <c r="Q34" s="113"/>
      <c r="R34" s="113"/>
      <c r="S34" s="113"/>
      <c r="T34" s="113"/>
    </row>
    <row r="35" spans="1:20" s="111" customFormat="1" ht="15" customHeight="1" x14ac:dyDescent="0.15">
      <c r="B35" s="112" t="s">
        <v>154</v>
      </c>
      <c r="D35" s="115">
        <f>INPUTS!$D$7</f>
        <v>300</v>
      </c>
      <c r="E35" s="113"/>
      <c r="F35" s="113"/>
      <c r="G35" s="113"/>
      <c r="H35" s="113"/>
      <c r="J35" s="115">
        <f>INPUTS!$F$7</f>
        <v>300</v>
      </c>
      <c r="K35" s="113"/>
      <c r="L35" s="113"/>
      <c r="M35" s="113"/>
      <c r="N35" s="113"/>
      <c r="O35" s="114"/>
      <c r="P35" s="115">
        <f>INPUTS!$H$7</f>
        <v>300</v>
      </c>
      <c r="Q35" s="113"/>
      <c r="R35" s="113"/>
      <c r="S35" s="113"/>
      <c r="T35" s="113"/>
    </row>
    <row r="36" spans="1:20" s="111" customFormat="1" ht="15" customHeight="1" x14ac:dyDescent="0.15">
      <c r="B36" s="112" t="s">
        <v>189</v>
      </c>
      <c r="D36" s="116">
        <f>INPUTS!$D$10</f>
        <v>0.6</v>
      </c>
      <c r="E36" s="113"/>
      <c r="F36" s="113"/>
      <c r="G36" s="113"/>
      <c r="H36" s="113"/>
      <c r="J36" s="116">
        <f>INPUTS!$F$10</f>
        <v>0.65</v>
      </c>
      <c r="K36" s="113"/>
      <c r="L36" s="113"/>
      <c r="M36" s="113"/>
      <c r="N36" s="113"/>
      <c r="O36" s="114"/>
      <c r="P36" s="116">
        <f>INPUTS!$H$10</f>
        <v>0.7</v>
      </c>
      <c r="Q36" s="113"/>
      <c r="R36" s="113"/>
      <c r="S36" s="113"/>
      <c r="T36" s="113"/>
    </row>
    <row r="37" spans="1:20" s="111" customFormat="1" ht="15" customHeight="1" x14ac:dyDescent="0.15">
      <c r="B37" s="112" t="s">
        <v>91</v>
      </c>
      <c r="D37" s="117">
        <f>INPUTS!$D$14</f>
        <v>1000</v>
      </c>
      <c r="E37" s="113"/>
      <c r="F37" s="113"/>
      <c r="G37" s="113"/>
      <c r="H37" s="113"/>
      <c r="J37" s="117">
        <f>INPUTS!$F$14</f>
        <v>1000</v>
      </c>
      <c r="K37" s="113"/>
      <c r="L37" s="113"/>
      <c r="M37" s="113"/>
      <c r="N37" s="113"/>
      <c r="O37" s="114"/>
      <c r="P37" s="117">
        <f>INPUTS!$H$14</f>
        <v>1000</v>
      </c>
      <c r="Q37" s="113"/>
      <c r="R37" s="113"/>
      <c r="S37" s="113"/>
      <c r="T37" s="113"/>
    </row>
    <row r="38" spans="1:20" s="111" customFormat="1" ht="15" customHeight="1" x14ac:dyDescent="0.15">
      <c r="B38" s="112" t="s">
        <v>195</v>
      </c>
      <c r="D38" s="116">
        <f>INPUTS!$D$20</f>
        <v>0.96</v>
      </c>
      <c r="E38" s="113"/>
      <c r="F38" s="116">
        <f>INPUTS!$D$44</f>
        <v>0.96</v>
      </c>
      <c r="G38" s="113"/>
      <c r="H38" s="113"/>
      <c r="J38" s="116">
        <f>INPUTS!$F$20</f>
        <v>0.95</v>
      </c>
      <c r="K38" s="113"/>
      <c r="L38" s="116">
        <f>INPUTS!$F$44</f>
        <v>0.95</v>
      </c>
      <c r="M38" s="113"/>
      <c r="N38" s="113"/>
      <c r="O38" s="114"/>
      <c r="P38" s="116">
        <f>INPUTS!$H$20</f>
        <v>0.94</v>
      </c>
      <c r="Q38" s="113"/>
      <c r="R38" s="116">
        <f>INPUTS!$F$44</f>
        <v>0.95</v>
      </c>
      <c r="S38" s="113"/>
      <c r="T38" s="113"/>
    </row>
    <row r="39" spans="1:20" s="111" customFormat="1" ht="15" customHeight="1" x14ac:dyDescent="0.15">
      <c r="B39" s="112" t="s">
        <v>196</v>
      </c>
      <c r="D39" s="118" t="str">
        <f>IF(INPUTS!$D$39=0.8,"4 : 1 ",IF(INPUTS!$D$39=0.75,"3 : 1 ",IF(INPUTS!$D$39=0.94,"5 : 1 ",IF(INPUTS!$D$39=0,"None","ERROR "))))</f>
        <v xml:space="preserve">5 : 1 </v>
      </c>
      <c r="E39" s="113"/>
      <c r="F39" s="118" t="str">
        <f>IF(INPUTS!$D$62=0.8,"4 : 1 ",IF(INPUTS!$D$62=0.75,"3 : 1 ",IF(INPUTS!$D$62=0.94,"5 : 1 ",IF(INPUTS!$D$62=0,"None","ERROR "))))</f>
        <v>None</v>
      </c>
      <c r="G39" s="113"/>
      <c r="H39" s="113"/>
      <c r="J39" s="118" t="str">
        <f>IF(INPUTS!$F$39=0.8,"4 : 1 ",IF(INPUTS!$F$39=0.75,"3 : 1 ",IF(INPUTS!$F$39=0.94,"5 : 1 ",IF(INPUTS!$F$39=0,"None","ERROR "))))</f>
        <v xml:space="preserve">4 : 1 </v>
      </c>
      <c r="K39" s="113"/>
      <c r="L39" s="118" t="str">
        <f>IF(INPUTS!$F$62=0.8,"4 : 1 ",IF(INPUTS!$F$62=0.75,"3 : 1 ",IF(INPUTS!$F$62=0.94,"5 : 1 ",IF(INPUTS!$F$62=0,"None","ERROR "))))</f>
        <v>None</v>
      </c>
      <c r="M39" s="113"/>
      <c r="N39" s="113"/>
      <c r="O39" s="114"/>
      <c r="P39" s="118" t="str">
        <f>IF(INPUTS!$H$39=0.8,"4 : 1 ",IF(INPUTS!$H$39=0.75,"3 : 1 ",IF(INPUTS!$H$39=0.94,"5 : 1 ",IF(INPUTS!$H$39=0,"None","ERROR "))))</f>
        <v xml:space="preserve">3 : 1 </v>
      </c>
      <c r="Q39" s="113"/>
      <c r="R39" s="118" t="str">
        <f>IF(INPUTS!$H$62=0.8,"4 : 1 ",IF(INPUTS!$H$62=0.75,"3 : 1 ",IF(INPUTS!$H$62=0.94,"5 : 1 ",IF(INPUTS!$H$62=0,"None","ERROR "))))</f>
        <v>None</v>
      </c>
      <c r="S39" s="113"/>
      <c r="T39" s="113"/>
    </row>
    <row r="40" spans="1:20" s="111" customFormat="1" ht="15" customHeight="1" x14ac:dyDescent="0.15">
      <c r="B40" s="112" t="s">
        <v>190</v>
      </c>
      <c r="D40" s="117">
        <f>INPUTS!$D$28</f>
        <v>350000</v>
      </c>
      <c r="E40" s="113"/>
      <c r="F40" s="117">
        <f>INPUTS!$D$52</f>
        <v>350000</v>
      </c>
      <c r="G40" s="113"/>
      <c r="H40" s="113"/>
      <c r="J40" s="117">
        <f>INPUTS!$F$28</f>
        <v>350000</v>
      </c>
      <c r="K40" s="113"/>
      <c r="L40" s="117">
        <f>INPUTS!$F$52</f>
        <v>350000</v>
      </c>
      <c r="M40" s="113"/>
      <c r="N40" s="113"/>
      <c r="O40" s="114"/>
      <c r="P40" s="117">
        <f>INPUTS!$H$28</f>
        <v>350000</v>
      </c>
      <c r="Q40" s="113"/>
      <c r="R40" s="117">
        <f>INPUTS!$H$52</f>
        <v>350000</v>
      </c>
      <c r="S40" s="113"/>
      <c r="T40" s="113"/>
    </row>
    <row r="41" spans="1:20" s="111" customFormat="1" ht="15" customHeight="1" x14ac:dyDescent="0.15">
      <c r="B41" s="112" t="s">
        <v>192</v>
      </c>
      <c r="D41" s="116">
        <f>INPUTS!$D$30</f>
        <v>0.9</v>
      </c>
      <c r="E41" s="113"/>
      <c r="F41" s="116">
        <f>INPUTS!$D$54</f>
        <v>0.85</v>
      </c>
      <c r="G41" s="113"/>
      <c r="H41" s="113"/>
      <c r="J41" s="116">
        <f>INPUTS!$F$30</f>
        <v>0.9</v>
      </c>
      <c r="K41" s="113"/>
      <c r="L41" s="116">
        <f>INPUTS!$F$54</f>
        <v>0.85</v>
      </c>
      <c r="M41" s="113"/>
      <c r="N41" s="113"/>
      <c r="O41" s="114"/>
      <c r="P41" s="116">
        <f>INPUTS!$H$30</f>
        <v>0.9</v>
      </c>
      <c r="Q41" s="113"/>
      <c r="R41" s="116">
        <f>INPUTS!$H$54</f>
        <v>0.85</v>
      </c>
      <c r="S41" s="113"/>
      <c r="T41" s="113"/>
    </row>
    <row r="42" spans="1:20" s="111" customFormat="1" ht="15" customHeight="1" x14ac:dyDescent="0.15">
      <c r="B42" s="112" t="s">
        <v>191</v>
      </c>
      <c r="D42" s="117">
        <f>INPUTS!$D$33</f>
        <v>600000</v>
      </c>
      <c r="E42" s="113"/>
      <c r="F42" s="117">
        <f>INPUTS!$D$57</f>
        <v>520000</v>
      </c>
      <c r="G42" s="113"/>
      <c r="H42" s="113"/>
      <c r="J42" s="117">
        <f>INPUTS!$F$33</f>
        <v>600000</v>
      </c>
      <c r="K42" s="113"/>
      <c r="L42" s="117">
        <f>INPUTS!$F$57</f>
        <v>520000</v>
      </c>
      <c r="M42" s="113"/>
      <c r="N42" s="113"/>
      <c r="O42" s="114"/>
      <c r="P42" s="117">
        <f>INPUTS!$H$33</f>
        <v>600000</v>
      </c>
      <c r="Q42" s="113"/>
      <c r="R42" s="117">
        <f>INPUTS!$H$57</f>
        <v>520000</v>
      </c>
      <c r="S42" s="113"/>
      <c r="T42" s="113"/>
    </row>
    <row r="43" spans="1:20" s="111" customFormat="1" ht="15" customHeight="1" x14ac:dyDescent="0.15">
      <c r="B43" s="112" t="s">
        <v>193</v>
      </c>
      <c r="D43" s="116">
        <f>INPUTS!$D$35</f>
        <v>0.85</v>
      </c>
      <c r="E43" s="113"/>
      <c r="F43" s="116">
        <f>INPUTS!$D$59</f>
        <v>0.8</v>
      </c>
      <c r="G43" s="113"/>
      <c r="H43" s="113"/>
      <c r="J43" s="116">
        <f>INPUTS!$F$35</f>
        <v>0.85</v>
      </c>
      <c r="K43" s="113"/>
      <c r="L43" s="116">
        <f>INPUTS!$F$59</f>
        <v>0.8</v>
      </c>
      <c r="M43" s="113"/>
      <c r="N43" s="113"/>
      <c r="O43" s="114"/>
      <c r="P43" s="116">
        <f>INPUTS!$H$35</f>
        <v>0.85</v>
      </c>
      <c r="Q43" s="113"/>
      <c r="R43" s="116">
        <f>INPUTS!$H$59</f>
        <v>0.8</v>
      </c>
      <c r="S43" s="113"/>
      <c r="T43" s="113"/>
    </row>
    <row r="44" spans="1:20" s="111" customFormat="1" ht="8.1" customHeight="1" x14ac:dyDescent="0.15"/>
    <row r="45" spans="1:20" ht="8.1" customHeight="1" x14ac:dyDescent="0.2">
      <c r="A45" s="74"/>
      <c r="B45" s="75"/>
      <c r="C45" s="74"/>
      <c r="D45" s="76"/>
      <c r="E45" s="76"/>
      <c r="F45" s="76"/>
      <c r="G45" s="76"/>
      <c r="H45" s="76"/>
      <c r="J45" s="76"/>
      <c r="K45" s="76"/>
      <c r="L45" s="76"/>
      <c r="M45" s="76"/>
      <c r="N45" s="76"/>
      <c r="P45" s="76"/>
      <c r="Q45" s="76"/>
      <c r="R45" s="76"/>
      <c r="S45" s="76"/>
      <c r="T45" s="76"/>
    </row>
    <row r="46" spans="1:20" ht="8.1" customHeight="1" x14ac:dyDescent="0.2">
      <c r="D46" s="62"/>
      <c r="E46" s="62"/>
      <c r="F46" s="62"/>
      <c r="G46" s="62"/>
      <c r="H46" s="62"/>
      <c r="J46" s="62"/>
      <c r="K46" s="62"/>
      <c r="L46" s="62"/>
      <c r="M46" s="62"/>
      <c r="N46" s="62"/>
      <c r="P46" s="62"/>
      <c r="Q46" s="62"/>
      <c r="R46" s="62"/>
      <c r="S46" s="62"/>
      <c r="T46" s="62"/>
    </row>
    <row r="47" spans="1:20" ht="20.100000000000001" customHeight="1" x14ac:dyDescent="0.2">
      <c r="B47" s="37" t="s">
        <v>87</v>
      </c>
      <c r="D47" s="59"/>
      <c r="E47" s="59"/>
      <c r="F47" s="59"/>
      <c r="G47" s="59"/>
      <c r="H47" s="119" t="s">
        <v>197</v>
      </c>
      <c r="J47" s="59"/>
      <c r="K47" s="59"/>
      <c r="L47" s="62"/>
      <c r="N47" s="120" t="s">
        <v>48</v>
      </c>
      <c r="P47" s="59"/>
      <c r="Q47" s="59"/>
      <c r="R47" s="62"/>
      <c r="T47" s="121" t="s">
        <v>49</v>
      </c>
    </row>
    <row r="48" spans="1:20" ht="20.100000000000001" customHeight="1" x14ac:dyDescent="0.2">
      <c r="B48" s="2" t="s">
        <v>139</v>
      </c>
      <c r="D48" s="59"/>
      <c r="E48" s="59"/>
      <c r="F48" s="59"/>
      <c r="G48" s="59"/>
      <c r="H48" s="59">
        <f>ROUND(H32*INPUTS!$D$16,0)</f>
        <v>811282</v>
      </c>
      <c r="J48" s="59"/>
      <c r="K48" s="59"/>
      <c r="L48" s="59"/>
      <c r="M48" s="59"/>
      <c r="N48" s="59">
        <f>ROUND(N32*INPUTS!$F$16,0)</f>
        <v>321981</v>
      </c>
      <c r="P48" s="59"/>
      <c r="Q48" s="59"/>
      <c r="R48" s="59"/>
      <c r="S48" s="59"/>
      <c r="T48" s="59">
        <f>ROUND(T32*INPUTS!$H$16,0)</f>
        <v>-81707</v>
      </c>
    </row>
    <row r="49" spans="1:20" ht="20.100000000000001" customHeight="1" x14ac:dyDescent="0.2">
      <c r="B49" s="2" t="s">
        <v>62</v>
      </c>
      <c r="D49" s="72"/>
      <c r="E49" s="59"/>
      <c r="F49" s="59"/>
      <c r="G49" s="59"/>
      <c r="H49" s="59">
        <f>H32-H48</f>
        <v>0</v>
      </c>
      <c r="J49" s="72"/>
      <c r="K49" s="59"/>
      <c r="L49" s="59"/>
      <c r="M49" s="59"/>
      <c r="N49" s="59">
        <f>N32-N48</f>
        <v>0</v>
      </c>
      <c r="P49" s="72"/>
      <c r="Q49" s="59"/>
      <c r="R49" s="59"/>
      <c r="S49" s="59"/>
      <c r="T49" s="59">
        <f>T32-T48</f>
        <v>0</v>
      </c>
    </row>
    <row r="50" spans="1:20" ht="20.100000000000001" customHeight="1" thickBot="1" x14ac:dyDescent="0.25">
      <c r="B50" s="2"/>
      <c r="D50" s="59"/>
      <c r="E50" s="59"/>
      <c r="F50" s="59"/>
      <c r="G50" s="59"/>
      <c r="H50" s="60">
        <f>SUM(H48:H49)</f>
        <v>811282</v>
      </c>
      <c r="J50" s="59"/>
      <c r="K50" s="59"/>
      <c r="L50" s="59"/>
      <c r="M50" s="59"/>
      <c r="N50" s="60">
        <f>SUM(N48:N49)</f>
        <v>321981</v>
      </c>
      <c r="P50" s="59"/>
      <c r="Q50" s="59"/>
      <c r="R50" s="59"/>
      <c r="S50" s="59"/>
      <c r="T50" s="60">
        <f>SUM(T48:T49)</f>
        <v>-81707</v>
      </c>
    </row>
    <row r="51" spans="1:20" ht="8.1" customHeight="1" thickTop="1" x14ac:dyDescent="0.2">
      <c r="B51" s="2"/>
      <c r="D51" s="59"/>
      <c r="E51" s="59"/>
      <c r="F51" s="59"/>
      <c r="G51" s="59"/>
      <c r="H51" s="59"/>
      <c r="J51" s="59"/>
      <c r="K51" s="59"/>
      <c r="L51" s="59"/>
      <c r="M51" s="59"/>
      <c r="N51" s="59"/>
      <c r="P51" s="59"/>
      <c r="Q51" s="59"/>
      <c r="R51" s="59"/>
      <c r="S51" s="59"/>
      <c r="T51" s="59"/>
    </row>
    <row r="52" spans="1:20" ht="20.100000000000001" customHeight="1" x14ac:dyDescent="0.2">
      <c r="B52" s="2" t="s">
        <v>151</v>
      </c>
      <c r="D52" s="59"/>
      <c r="E52" s="59"/>
      <c r="F52" s="59"/>
      <c r="G52" s="59"/>
      <c r="H52" s="59">
        <f>H28-H27</f>
        <v>1758975</v>
      </c>
      <c r="J52" s="59"/>
      <c r="K52" s="59"/>
      <c r="L52" s="59"/>
      <c r="M52" s="59"/>
      <c r="N52" s="59">
        <f>N28-N27</f>
        <v>1106574</v>
      </c>
      <c r="P52" s="59"/>
      <c r="Q52" s="59"/>
      <c r="R52" s="59"/>
      <c r="S52" s="59"/>
      <c r="T52" s="59">
        <f>T28-T27</f>
        <v>568323</v>
      </c>
    </row>
    <row r="53" spans="1:20" ht="20.100000000000001" customHeight="1" x14ac:dyDescent="0.2">
      <c r="B53" s="2" t="s">
        <v>152</v>
      </c>
      <c r="D53" s="59"/>
      <c r="E53" s="59"/>
      <c r="F53" s="59"/>
      <c r="G53" s="59"/>
      <c r="H53" s="59">
        <f>ROUND(-INPUTS!$D$5*SUMMARY!H52,0)</f>
        <v>-439744</v>
      </c>
      <c r="J53" s="59"/>
      <c r="K53" s="59"/>
      <c r="L53" s="59"/>
      <c r="M53" s="59"/>
      <c r="N53" s="59">
        <f>ROUND(-INPUTS!$F$5*SUMMARY!N52,0)</f>
        <v>-276644</v>
      </c>
      <c r="P53" s="59"/>
      <c r="Q53" s="59"/>
      <c r="R53" s="59"/>
      <c r="S53" s="59"/>
      <c r="T53" s="59">
        <f>ROUND(-INPUTS!$H$5*SUMMARY!T52,0)</f>
        <v>-142081</v>
      </c>
    </row>
    <row r="54" spans="1:20" ht="20.100000000000001" customHeight="1" thickBot="1" x14ac:dyDescent="0.25">
      <c r="B54" s="2" t="s">
        <v>73</v>
      </c>
      <c r="D54" s="59"/>
      <c r="E54" s="59"/>
      <c r="F54" s="59"/>
      <c r="G54" s="59"/>
      <c r="H54" s="60">
        <f>SUM(H52:H53)</f>
        <v>1319231</v>
      </c>
      <c r="J54" s="59"/>
      <c r="K54" s="59"/>
      <c r="L54" s="59"/>
      <c r="M54" s="59"/>
      <c r="N54" s="60">
        <f>SUM(N52:N53)</f>
        <v>829930</v>
      </c>
      <c r="P54" s="59"/>
      <c r="Q54" s="59"/>
      <c r="R54" s="59"/>
      <c r="S54" s="59"/>
      <c r="T54" s="60">
        <f>SUM(T52:T53)</f>
        <v>426242</v>
      </c>
    </row>
    <row r="55" spans="1:20" ht="8.1" customHeight="1" thickTop="1" x14ac:dyDescent="0.2">
      <c r="B55" s="2"/>
      <c r="D55" s="59"/>
      <c r="E55" s="59"/>
      <c r="F55" s="59"/>
      <c r="G55" s="59"/>
      <c r="H55" s="59"/>
      <c r="J55" s="59"/>
      <c r="K55" s="59"/>
      <c r="L55" s="59"/>
      <c r="M55" s="59"/>
      <c r="N55" s="59"/>
      <c r="P55" s="59"/>
      <c r="Q55" s="59"/>
      <c r="R55" s="59"/>
      <c r="S55" s="59"/>
      <c r="T55" s="59"/>
    </row>
    <row r="56" spans="1:20" ht="20.100000000000001" customHeight="1" x14ac:dyDescent="0.2">
      <c r="B56" s="2" t="s">
        <v>140</v>
      </c>
      <c r="D56" s="59"/>
      <c r="E56" s="59"/>
      <c r="F56" s="59"/>
      <c r="G56" s="59"/>
      <c r="H56" s="59">
        <f>ROUND(H54*INPUTS!$D$16,0)</f>
        <v>1319231</v>
      </c>
      <c r="J56" s="59"/>
      <c r="K56" s="59"/>
      <c r="L56" s="59"/>
      <c r="M56" s="59"/>
      <c r="N56" s="59">
        <f>ROUND(N54*INPUTS!$F$16,0)</f>
        <v>829930</v>
      </c>
      <c r="P56" s="59"/>
      <c r="Q56" s="59"/>
      <c r="R56" s="59"/>
      <c r="S56" s="59"/>
      <c r="T56" s="59">
        <f>ROUND(T54*INPUTS!$H$16,0)</f>
        <v>426242</v>
      </c>
    </row>
    <row r="57" spans="1:20" ht="20.100000000000001" customHeight="1" x14ac:dyDescent="0.2">
      <c r="B57" s="2" t="s">
        <v>63</v>
      </c>
      <c r="D57" s="72"/>
      <c r="E57" s="59"/>
      <c r="F57" s="59"/>
      <c r="G57" s="59"/>
      <c r="H57" s="59">
        <f>H54-H56</f>
        <v>0</v>
      </c>
      <c r="J57" s="72"/>
      <c r="K57" s="59"/>
      <c r="L57" s="59"/>
      <c r="M57" s="59"/>
      <c r="N57" s="59">
        <f>N54-N56</f>
        <v>0</v>
      </c>
      <c r="P57" s="72"/>
      <c r="Q57" s="59"/>
      <c r="R57" s="59"/>
      <c r="S57" s="59"/>
      <c r="T57" s="59">
        <f>T54-T56</f>
        <v>0</v>
      </c>
    </row>
    <row r="58" spans="1:20" ht="20.100000000000001" customHeight="1" thickBot="1" x14ac:dyDescent="0.25">
      <c r="B58" s="2"/>
      <c r="D58" s="59"/>
      <c r="E58" s="59"/>
      <c r="F58" s="59"/>
      <c r="G58" s="59"/>
      <c r="H58" s="60">
        <f>SUM(H56:H57)</f>
        <v>1319231</v>
      </c>
      <c r="J58" s="59"/>
      <c r="K58" s="59"/>
      <c r="L58" s="59"/>
      <c r="M58" s="59"/>
      <c r="N58" s="60">
        <f>SUM(N56:N57)</f>
        <v>829930</v>
      </c>
      <c r="P58" s="59"/>
      <c r="Q58" s="59"/>
      <c r="R58" s="59"/>
      <c r="S58" s="59"/>
      <c r="T58" s="60">
        <f>SUM(T56:T57)</f>
        <v>426242</v>
      </c>
    </row>
    <row r="59" spans="1:20" ht="8.1" customHeight="1" thickTop="1" x14ac:dyDescent="0.2">
      <c r="B59" s="2"/>
      <c r="D59" s="59"/>
      <c r="E59" s="59"/>
      <c r="F59" s="59"/>
      <c r="G59" s="59"/>
      <c r="H59" s="59"/>
      <c r="J59" s="59"/>
      <c r="K59" s="59"/>
      <c r="L59" s="59"/>
      <c r="M59" s="59"/>
      <c r="N59" s="59"/>
      <c r="P59" s="59"/>
      <c r="Q59" s="59"/>
      <c r="R59" s="59"/>
      <c r="S59" s="59"/>
      <c r="T59" s="59"/>
    </row>
    <row r="60" spans="1:20" ht="20.100000000000001" customHeight="1" thickBot="1" x14ac:dyDescent="0.25">
      <c r="B60" s="2" t="s">
        <v>176</v>
      </c>
      <c r="D60" s="59"/>
      <c r="E60" s="59"/>
      <c r="F60" s="59"/>
      <c r="G60" s="59"/>
      <c r="H60" s="69">
        <f>ROUND(H56/H10,4)</f>
        <v>0.23960000000000001</v>
      </c>
      <c r="J60" s="59"/>
      <c r="K60" s="59"/>
      <c r="L60" s="59"/>
      <c r="M60" s="59"/>
      <c r="N60" s="69">
        <f>ROUND(N56/N10,4)</f>
        <v>0.1676</v>
      </c>
      <c r="P60" s="59"/>
      <c r="Q60" s="59"/>
      <c r="R60" s="59"/>
      <c r="S60" s="59"/>
      <c r="T60" s="69">
        <f>ROUND(T56/T10,4)</f>
        <v>0.1048</v>
      </c>
    </row>
    <row r="61" spans="1:20" ht="8.1" customHeight="1" thickTop="1" x14ac:dyDescent="0.2">
      <c r="B61" s="2"/>
      <c r="D61" s="59"/>
      <c r="E61" s="59"/>
      <c r="F61" s="59"/>
      <c r="G61" s="59"/>
      <c r="H61" s="59"/>
      <c r="J61" s="59"/>
      <c r="K61" s="59"/>
      <c r="L61" s="59"/>
      <c r="M61" s="59"/>
      <c r="N61" s="59"/>
      <c r="P61" s="59"/>
      <c r="Q61" s="59"/>
      <c r="R61" s="59"/>
      <c r="S61" s="59"/>
      <c r="T61" s="59"/>
    </row>
    <row r="62" spans="1:20" ht="8.1" customHeight="1" x14ac:dyDescent="0.2">
      <c r="A62" s="74"/>
      <c r="B62" s="75"/>
      <c r="C62" s="74"/>
      <c r="D62" s="76"/>
      <c r="E62" s="76"/>
      <c r="F62" s="76"/>
      <c r="G62" s="76"/>
      <c r="H62" s="76"/>
      <c r="J62" s="76"/>
      <c r="K62" s="76"/>
      <c r="L62" s="76"/>
      <c r="M62" s="76"/>
      <c r="N62" s="76"/>
      <c r="P62" s="76"/>
      <c r="Q62" s="76"/>
      <c r="R62" s="76"/>
      <c r="S62" s="76"/>
      <c r="T62" s="76"/>
    </row>
    <row r="63" spans="1:20" ht="9.9499999999999993" hidden="1" customHeight="1" x14ac:dyDescent="0.2">
      <c r="B63" s="2"/>
      <c r="D63" s="59"/>
      <c r="E63" s="59"/>
      <c r="F63" s="59"/>
      <c r="G63" s="59"/>
      <c r="H63" s="59"/>
      <c r="J63" s="59"/>
      <c r="K63" s="59"/>
      <c r="L63" s="59"/>
      <c r="M63" s="59"/>
      <c r="N63" s="59"/>
      <c r="P63" s="59"/>
      <c r="Q63" s="59"/>
      <c r="R63" s="59"/>
      <c r="S63" s="59"/>
      <c r="T63" s="59"/>
    </row>
    <row r="64" spans="1:20" ht="20.100000000000001" hidden="1" customHeight="1" x14ac:dyDescent="0.2">
      <c r="B64" s="2" t="s">
        <v>68</v>
      </c>
      <c r="D64" s="59" t="s">
        <v>56</v>
      </c>
      <c r="E64" s="59"/>
      <c r="F64" s="62"/>
      <c r="G64" s="59"/>
      <c r="H64" s="59" t="s">
        <v>55</v>
      </c>
      <c r="J64" s="59" t="s">
        <v>56</v>
      </c>
      <c r="K64" s="59"/>
      <c r="L64" s="62"/>
      <c r="M64" s="59"/>
      <c r="N64" s="59" t="s">
        <v>55</v>
      </c>
      <c r="P64" s="59" t="s">
        <v>56</v>
      </c>
      <c r="Q64" s="59"/>
      <c r="R64" s="62"/>
      <c r="S64" s="59"/>
      <c r="T64" s="59" t="s">
        <v>55</v>
      </c>
    </row>
    <row r="65" spans="2:20" hidden="1" x14ac:dyDescent="0.2"/>
    <row r="66" spans="2:20" ht="20.100000000000001" hidden="1" customHeight="1" thickBot="1" x14ac:dyDescent="0.25">
      <c r="H66" s="73">
        <f>H73</f>
        <v>-1000000</v>
      </c>
      <c r="N66" s="73">
        <f>N73</f>
        <v>-1000000</v>
      </c>
      <c r="T66" s="73">
        <f>T73</f>
        <v>-1000000</v>
      </c>
    </row>
    <row r="67" spans="2:20" ht="20.100000000000001" hidden="1" customHeight="1" thickTop="1" x14ac:dyDescent="0.2">
      <c r="B67" s="2" t="s">
        <v>50</v>
      </c>
      <c r="D67" s="59">
        <f>H48</f>
        <v>811282</v>
      </c>
      <c r="E67" s="59"/>
      <c r="F67" s="87"/>
      <c r="H67" s="59">
        <f>D67/((1+INPUTS!$D$18)^1)</f>
        <v>705462.60869565222</v>
      </c>
      <c r="J67" s="59">
        <f>N48</f>
        <v>321981</v>
      </c>
      <c r="K67" s="59"/>
      <c r="L67" s="87"/>
      <c r="N67" s="59">
        <f>J67/((1+INPUTS!$F$18)^1)</f>
        <v>279983.47826086957</v>
      </c>
      <c r="P67" s="59">
        <f>T48</f>
        <v>-81707</v>
      </c>
      <c r="Q67" s="59"/>
      <c r="R67" s="87"/>
      <c r="T67" s="59">
        <f>P67/((1+INPUTS!$H$18)^1)</f>
        <v>-71049.565217391311</v>
      </c>
    </row>
    <row r="68" spans="2:20" ht="20.100000000000001" hidden="1" customHeight="1" x14ac:dyDescent="0.2">
      <c r="B68" s="2" t="s">
        <v>51</v>
      </c>
      <c r="D68" s="59">
        <f>H56</f>
        <v>1319231</v>
      </c>
      <c r="E68" s="59"/>
      <c r="F68" s="87" t="s">
        <v>74</v>
      </c>
      <c r="H68" s="59">
        <f>D68/((1+INPUTS!$D$18)^2)</f>
        <v>997528.16635160695</v>
      </c>
      <c r="J68" s="59">
        <f>N56</f>
        <v>829930</v>
      </c>
      <c r="K68" s="59"/>
      <c r="L68" s="87" t="s">
        <v>74</v>
      </c>
      <c r="N68" s="59">
        <f>J68/((1+INPUTS!$F$18)^2)</f>
        <v>627546.313799622</v>
      </c>
      <c r="P68" s="59">
        <f>T56</f>
        <v>426242</v>
      </c>
      <c r="Q68" s="59"/>
      <c r="R68" s="87" t="s">
        <v>74</v>
      </c>
      <c r="T68" s="59">
        <f>P68/((1+INPUTS!$H$18)^2)</f>
        <v>322300.18903591688</v>
      </c>
    </row>
    <row r="69" spans="2:20" ht="20.100000000000001" hidden="1" customHeight="1" x14ac:dyDescent="0.2">
      <c r="B69" s="2" t="s">
        <v>52</v>
      </c>
      <c r="D69" s="59">
        <f>D68</f>
        <v>1319231</v>
      </c>
      <c r="E69" s="59"/>
      <c r="F69" s="87" t="s">
        <v>74</v>
      </c>
      <c r="H69" s="59">
        <f>D69/((1+INPUTS!$D$18)^3)</f>
        <v>867415.79682748439</v>
      </c>
      <c r="J69" s="59">
        <f>J68</f>
        <v>829930</v>
      </c>
      <c r="K69" s="59"/>
      <c r="L69" s="87" t="s">
        <v>74</v>
      </c>
      <c r="N69" s="59">
        <f>J69/((1+INPUTS!$F$18)^3)</f>
        <v>545692.44678228011</v>
      </c>
      <c r="P69" s="59">
        <f>P68</f>
        <v>426242</v>
      </c>
      <c r="Q69" s="59"/>
      <c r="R69" s="87" t="s">
        <v>74</v>
      </c>
      <c r="T69" s="59">
        <f>P69/((1+INPUTS!$H$18)^3)</f>
        <v>280261.03394427558</v>
      </c>
    </row>
    <row r="70" spans="2:20" ht="20.100000000000001" hidden="1" customHeight="1" x14ac:dyDescent="0.2">
      <c r="B70" s="2" t="s">
        <v>53</v>
      </c>
      <c r="D70" s="59">
        <f>D69</f>
        <v>1319231</v>
      </c>
      <c r="E70" s="59"/>
      <c r="F70" s="87" t="s">
        <v>74</v>
      </c>
      <c r="H70" s="59">
        <f>D70/((1+INPUTS!$D$18)^4)</f>
        <v>754274.60593694297</v>
      </c>
      <c r="J70" s="59">
        <f>J69</f>
        <v>829930</v>
      </c>
      <c r="K70" s="59"/>
      <c r="L70" s="87" t="s">
        <v>74</v>
      </c>
      <c r="N70" s="59">
        <f>J70/((1+INPUTS!$F$18)^4)</f>
        <v>474515.17111502617</v>
      </c>
      <c r="P70" s="59">
        <f>P69</f>
        <v>426242</v>
      </c>
      <c r="Q70" s="59"/>
      <c r="R70" s="87" t="s">
        <v>74</v>
      </c>
      <c r="T70" s="59">
        <f>P70/((1+INPUTS!$H$18)^4)</f>
        <v>243705.24690806572</v>
      </c>
    </row>
    <row r="71" spans="2:20" ht="20.100000000000001" hidden="1" customHeight="1" x14ac:dyDescent="0.2">
      <c r="B71" s="2" t="s">
        <v>54</v>
      </c>
      <c r="D71" s="59">
        <f>D70</f>
        <v>1319231</v>
      </c>
      <c r="E71" s="59"/>
      <c r="F71" s="87" t="s">
        <v>74</v>
      </c>
      <c r="H71" s="59">
        <f>D71/((1+INPUTS!$D$18)^5)</f>
        <v>655890.96168429824</v>
      </c>
      <c r="J71" s="59">
        <f>J70</f>
        <v>829930</v>
      </c>
      <c r="K71" s="59"/>
      <c r="L71" s="87" t="s">
        <v>74</v>
      </c>
      <c r="N71" s="59">
        <f>J71/((1+INPUTS!$F$18)^5)</f>
        <v>412621.88792610972</v>
      </c>
      <c r="P71" s="59">
        <f>P70</f>
        <v>426242</v>
      </c>
      <c r="Q71" s="59"/>
      <c r="R71" s="87" t="s">
        <v>74</v>
      </c>
      <c r="T71" s="59">
        <f>P71/((1+INPUTS!$H$18)^5)</f>
        <v>211917.60600701367</v>
      </c>
    </row>
    <row r="72" spans="2:20" ht="20.100000000000001" hidden="1" customHeight="1" x14ac:dyDescent="0.2">
      <c r="B72" s="2" t="s">
        <v>58</v>
      </c>
      <c r="D72" s="59"/>
      <c r="E72" s="59"/>
      <c r="F72" s="59"/>
      <c r="H72" s="61">
        <f>SUM(H67:H71)</f>
        <v>3980572.1394959847</v>
      </c>
      <c r="J72" s="59"/>
      <c r="K72" s="59"/>
      <c r="L72" s="59"/>
      <c r="N72" s="61">
        <f>SUM(N67:N71)</f>
        <v>2340359.2978839078</v>
      </c>
      <c r="P72" s="59"/>
      <c r="Q72" s="59"/>
      <c r="R72" s="59"/>
      <c r="T72" s="61">
        <f>SUM(T67:T71)</f>
        <v>987134.51067788061</v>
      </c>
    </row>
    <row r="73" spans="2:20" ht="20.100000000000001" hidden="1" customHeight="1" x14ac:dyDescent="0.2">
      <c r="B73" s="2" t="s">
        <v>59</v>
      </c>
      <c r="D73" s="59"/>
      <c r="E73" s="59"/>
      <c r="F73" s="62"/>
      <c r="G73" s="59"/>
      <c r="H73" s="59">
        <f>-INPUTS!$D$15</f>
        <v>-1000000</v>
      </c>
      <c r="J73" s="59"/>
      <c r="K73" s="59"/>
      <c r="L73" s="62"/>
      <c r="M73" s="59"/>
      <c r="N73" s="59">
        <f>-INPUTS!$F$15</f>
        <v>-1000000</v>
      </c>
      <c r="P73" s="59"/>
      <c r="Q73" s="59"/>
      <c r="R73" s="62"/>
      <c r="S73" s="59"/>
      <c r="T73" s="59">
        <f>-INPUTS!$H$15</f>
        <v>-1000000</v>
      </c>
    </row>
    <row r="74" spans="2:20" ht="20.100000000000001" hidden="1" customHeight="1" thickBot="1" x14ac:dyDescent="0.25">
      <c r="B74" s="2" t="s">
        <v>61</v>
      </c>
      <c r="D74" s="59"/>
      <c r="E74" s="59"/>
      <c r="F74" s="62"/>
      <c r="G74" s="59"/>
      <c r="H74" s="60">
        <f>SUM(H72:H73)</f>
        <v>2980572.1394959847</v>
      </c>
      <c r="J74" s="59"/>
      <c r="K74" s="59"/>
      <c r="L74" s="62"/>
      <c r="M74" s="59"/>
      <c r="N74" s="60">
        <f>SUM(N72:N73)</f>
        <v>1340359.2978839078</v>
      </c>
      <c r="P74" s="59"/>
      <c r="Q74" s="59"/>
      <c r="R74" s="62"/>
      <c r="S74" s="59"/>
      <c r="T74" s="60">
        <f>SUM(T72:T73)</f>
        <v>-12865.489322119392</v>
      </c>
    </row>
    <row r="75" spans="2:20" ht="20.100000000000001" hidden="1" customHeight="1" thickTop="1" x14ac:dyDescent="0.2">
      <c r="D75" s="59"/>
      <c r="E75" s="59"/>
      <c r="F75" s="62"/>
      <c r="H75" s="62"/>
      <c r="J75" s="59"/>
      <c r="K75" s="59"/>
      <c r="L75" s="62"/>
      <c r="N75" s="62"/>
      <c r="P75" s="59"/>
      <c r="Q75" s="59"/>
      <c r="R75" s="62"/>
      <c r="T75" s="62"/>
    </row>
    <row r="76" spans="2:20" s="32" customFormat="1" ht="20.100000000000001" hidden="1" customHeight="1" thickBot="1" x14ac:dyDescent="0.3">
      <c r="B76" s="2" t="s">
        <v>64</v>
      </c>
      <c r="D76" s="77"/>
      <c r="E76" s="77"/>
      <c r="F76" s="77"/>
      <c r="G76" s="77"/>
      <c r="H76" s="78">
        <f>IRR(H66:H71)</f>
        <v>0.75949748013818885</v>
      </c>
      <c r="J76" s="77"/>
      <c r="K76" s="77"/>
      <c r="L76" s="77"/>
      <c r="M76" s="77"/>
      <c r="N76" s="78">
        <f>IRR(N66:N71)</f>
        <v>0.35440397628452724</v>
      </c>
      <c r="P76" s="77"/>
      <c r="Q76" s="77"/>
      <c r="R76" s="77"/>
      <c r="S76" s="77"/>
      <c r="T76" s="78">
        <f>IRR(T66:T71)</f>
        <v>-3.6977616608339092E-3</v>
      </c>
    </row>
    <row r="77" spans="2:20" ht="20.100000000000001" hidden="1" customHeight="1" thickTop="1" x14ac:dyDescent="0.2">
      <c r="B77" s="2"/>
    </row>
    <row r="78" spans="2:20" ht="20.100000000000001" hidden="1" customHeight="1" x14ac:dyDescent="0.2">
      <c r="B78" s="20" t="s">
        <v>70</v>
      </c>
      <c r="C78" s="22"/>
      <c r="D78" s="79"/>
      <c r="E78" s="79"/>
      <c r="F78" s="79"/>
      <c r="G78" s="79"/>
      <c r="H78" s="79"/>
      <c r="J78" s="79"/>
      <c r="K78" s="79"/>
      <c r="L78" s="79"/>
      <c r="M78" s="79"/>
      <c r="N78" s="79"/>
      <c r="P78" s="79"/>
      <c r="Q78" s="79"/>
      <c r="R78" s="79"/>
      <c r="S78" s="79"/>
      <c r="T78" s="79"/>
    </row>
    <row r="79" spans="2:20" ht="20.100000000000001" hidden="1" customHeight="1" thickBot="1" x14ac:dyDescent="0.25">
      <c r="B79" s="20" t="s">
        <v>65</v>
      </c>
      <c r="C79" s="22"/>
      <c r="D79" s="83">
        <f>INPUTS!$D$73</f>
        <v>50000000</v>
      </c>
      <c r="E79" s="79"/>
      <c r="F79" s="70">
        <f>INPUTS!$D$74</f>
        <v>1.4999999999999999E-2</v>
      </c>
      <c r="G79" s="79"/>
      <c r="H79" s="82">
        <f>ROUND(D79*F79,0)</f>
        <v>750000</v>
      </c>
      <c r="J79" s="83">
        <f>INPUTS!$F$73</f>
        <v>0</v>
      </c>
      <c r="K79" s="79"/>
      <c r="L79" s="70">
        <f>INPUTS!$F$74</f>
        <v>0</v>
      </c>
      <c r="M79" s="79"/>
      <c r="N79" s="82">
        <f>ROUND(J79*L79,0)</f>
        <v>0</v>
      </c>
      <c r="P79" s="83">
        <f>INPUTS!$H$73</f>
        <v>0</v>
      </c>
      <c r="Q79" s="79"/>
      <c r="R79" s="70">
        <f>INPUTS!$H$74</f>
        <v>0</v>
      </c>
      <c r="S79" s="79"/>
      <c r="T79" s="82">
        <f>ROUND(P79*R79,0)</f>
        <v>0</v>
      </c>
    </row>
    <row r="80" spans="2:20" ht="8.1" hidden="1" customHeight="1" thickTop="1" x14ac:dyDescent="0.2">
      <c r="D80" s="62"/>
      <c r="E80" s="62"/>
      <c r="F80" s="62"/>
      <c r="G80" s="62"/>
      <c r="H80" s="62"/>
      <c r="J80" s="62"/>
      <c r="K80" s="62"/>
      <c r="L80" s="62"/>
      <c r="M80" s="62"/>
      <c r="N80" s="62"/>
      <c r="P80" s="62"/>
      <c r="Q80" s="62"/>
      <c r="R80" s="62"/>
      <c r="S80" s="62"/>
      <c r="T80" s="62"/>
    </row>
    <row r="81" spans="2:20" ht="20.100000000000001" hidden="1" customHeight="1" x14ac:dyDescent="0.2">
      <c r="B81" s="20" t="s">
        <v>66</v>
      </c>
      <c r="C81" s="22"/>
      <c r="D81" s="83">
        <f>D79</f>
        <v>50000000</v>
      </c>
      <c r="E81" s="79"/>
      <c r="F81" s="70">
        <f>INPUTS!$D$75</f>
        <v>5.0000000000000001E-3</v>
      </c>
      <c r="G81" s="79"/>
      <c r="H81" s="88">
        <f>ROUND(D81*F81,0)</f>
        <v>250000</v>
      </c>
      <c r="J81" s="83">
        <f>J79</f>
        <v>0</v>
      </c>
      <c r="K81" s="79"/>
      <c r="L81" s="70">
        <f>INPUTS!$F$75</f>
        <v>0</v>
      </c>
      <c r="M81" s="79"/>
      <c r="N81" s="88">
        <f>ROUND(J81*L81,0)</f>
        <v>0</v>
      </c>
      <c r="P81" s="83">
        <f>P79</f>
        <v>0</v>
      </c>
      <c r="Q81" s="79"/>
      <c r="R81" s="70">
        <f>INPUTS!$H$75</f>
        <v>0</v>
      </c>
      <c r="S81" s="79"/>
      <c r="T81" s="88">
        <f>ROUND(P81*R81,0)</f>
        <v>0</v>
      </c>
    </row>
    <row r="82" spans="2:20" ht="20.100000000000001" hidden="1" customHeight="1" x14ac:dyDescent="0.2">
      <c r="B82" s="20" t="s">
        <v>67</v>
      </c>
      <c r="C82" s="22"/>
      <c r="D82" s="83">
        <f>$H$7</f>
        <v>5143333</v>
      </c>
      <c r="E82" s="79"/>
      <c r="F82" s="70">
        <v>2.75E-2</v>
      </c>
      <c r="G82" s="79"/>
      <c r="H82" s="88">
        <f>ROUND((20/52)*D82*F82,0)</f>
        <v>54401</v>
      </c>
      <c r="J82" s="83">
        <f>$H$7</f>
        <v>5143333</v>
      </c>
      <c r="K82" s="79"/>
      <c r="L82" s="70">
        <v>2.75E-2</v>
      </c>
      <c r="M82" s="79"/>
      <c r="N82" s="88">
        <f>ROUND((20/52)*J82*L82,0)</f>
        <v>54401</v>
      </c>
      <c r="P82" s="83">
        <f>$H$7</f>
        <v>5143333</v>
      </c>
      <c r="Q82" s="79"/>
      <c r="R82" s="70">
        <v>2.75E-2</v>
      </c>
      <c r="S82" s="79"/>
      <c r="T82" s="88">
        <f>ROUND((20/52)*P82*R82,0)</f>
        <v>54401</v>
      </c>
    </row>
    <row r="83" spans="2:20" ht="20.100000000000001" hidden="1" customHeight="1" thickBot="1" x14ac:dyDescent="0.25">
      <c r="B83" s="20" t="s">
        <v>76</v>
      </c>
      <c r="H83" s="89">
        <f>SUM(H81:H82)</f>
        <v>304401</v>
      </c>
      <c r="N83" s="89">
        <f>SUM(N81:N82)</f>
        <v>54401</v>
      </c>
      <c r="T83" s="89">
        <f>SUM(T81:T82)</f>
        <v>54401</v>
      </c>
    </row>
    <row r="84" spans="2:20" ht="8.1" hidden="1" customHeight="1" thickTop="1" x14ac:dyDescent="0.2">
      <c r="B84" s="2"/>
    </row>
    <row r="85" spans="2:20" ht="20.100000000000001" hidden="1" customHeight="1" x14ac:dyDescent="0.2">
      <c r="B85" s="2" t="s">
        <v>69</v>
      </c>
      <c r="D85" s="59" t="s">
        <v>56</v>
      </c>
      <c r="E85" s="59"/>
      <c r="F85" s="59" t="s">
        <v>75</v>
      </c>
      <c r="G85" s="59"/>
      <c r="H85" s="59" t="s">
        <v>55</v>
      </c>
      <c r="J85" s="59" t="s">
        <v>56</v>
      </c>
      <c r="K85" s="59"/>
      <c r="L85" s="59" t="s">
        <v>75</v>
      </c>
      <c r="M85" s="59"/>
      <c r="N85" s="59" t="s">
        <v>55</v>
      </c>
      <c r="P85" s="59" t="s">
        <v>56</v>
      </c>
      <c r="Q85" s="59"/>
      <c r="R85" s="59" t="s">
        <v>75</v>
      </c>
      <c r="S85" s="59"/>
      <c r="T85" s="59" t="s">
        <v>55</v>
      </c>
    </row>
    <row r="86" spans="2:20" ht="20.100000000000001" hidden="1" customHeight="1" thickBot="1" x14ac:dyDescent="0.25">
      <c r="H86" s="73">
        <f>H73-H79</f>
        <v>-1750000</v>
      </c>
      <c r="N86" s="73">
        <f>N73-N79</f>
        <v>-1000000</v>
      </c>
      <c r="T86" s="73">
        <f>T73-T79</f>
        <v>-1000000</v>
      </c>
    </row>
    <row r="87" spans="2:20" ht="20.100000000000001" hidden="1" customHeight="1" thickTop="1" x14ac:dyDescent="0.2">
      <c r="B87" s="2" t="s">
        <v>50</v>
      </c>
      <c r="D87" s="59">
        <f>D67</f>
        <v>811282</v>
      </c>
      <c r="E87" s="59"/>
      <c r="F87" s="59">
        <f>-H83</f>
        <v>-304401</v>
      </c>
      <c r="H87" s="59">
        <f>(D87+F87)/((1+INPUTS!$D$18)^1)</f>
        <v>440766.08695652179</v>
      </c>
      <c r="J87" s="59">
        <f>J67</f>
        <v>321981</v>
      </c>
      <c r="K87" s="59"/>
      <c r="L87" s="59">
        <f>-N83</f>
        <v>-54401</v>
      </c>
      <c r="N87" s="59">
        <f>(J87+L87)/((1+INPUTS!$F$18)^1)</f>
        <v>232678.26086956525</v>
      </c>
      <c r="P87" s="59">
        <f>P67</f>
        <v>-81707</v>
      </c>
      <c r="Q87" s="59"/>
      <c r="R87" s="59">
        <f>-T83</f>
        <v>-54401</v>
      </c>
      <c r="T87" s="59">
        <f>(P87+R87)/((1+INPUTS!$H$18)^1)</f>
        <v>-118354.78260869566</v>
      </c>
    </row>
    <row r="88" spans="2:20" ht="20.100000000000001" hidden="1" customHeight="1" x14ac:dyDescent="0.2">
      <c r="B88" s="2" t="s">
        <v>51</v>
      </c>
      <c r="D88" s="59">
        <f>D68</f>
        <v>1319231</v>
      </c>
      <c r="E88" s="59"/>
      <c r="F88" s="59">
        <f>F87</f>
        <v>-304401</v>
      </c>
      <c r="H88" s="59">
        <f>(D88+F88)/((1+INPUTS!$D$18)^1)</f>
        <v>882460.86956521741</v>
      </c>
      <c r="J88" s="59">
        <f>J68</f>
        <v>829930</v>
      </c>
      <c r="K88" s="59"/>
      <c r="L88" s="59">
        <f>L87</f>
        <v>-54401</v>
      </c>
      <c r="N88" s="59">
        <f>(J88+L88)/((1+INPUTS!$F$18)^1)</f>
        <v>674373.04347826086</v>
      </c>
      <c r="P88" s="59">
        <f>P68</f>
        <v>426242</v>
      </c>
      <c r="Q88" s="59"/>
      <c r="R88" s="59">
        <f>R87</f>
        <v>-54401</v>
      </c>
      <c r="T88" s="59">
        <f>(P88+R88)/((1+INPUTS!$H$18)^1)</f>
        <v>323340</v>
      </c>
    </row>
    <row r="89" spans="2:20" ht="20.100000000000001" hidden="1" customHeight="1" x14ac:dyDescent="0.2">
      <c r="B89" s="2" t="s">
        <v>52</v>
      </c>
      <c r="D89" s="59">
        <f>D88</f>
        <v>1319231</v>
      </c>
      <c r="E89" s="59"/>
      <c r="F89" s="59">
        <f>F88</f>
        <v>-304401</v>
      </c>
      <c r="H89" s="59">
        <f>(D89+F89)/((1+INPUTS!$D$18)^2)</f>
        <v>767357.27788279788</v>
      </c>
      <c r="J89" s="59">
        <f>J88</f>
        <v>829930</v>
      </c>
      <c r="K89" s="59"/>
      <c r="L89" s="59">
        <f>L88</f>
        <v>-54401</v>
      </c>
      <c r="N89" s="59">
        <f>(J89+L89)/((1+INPUTS!$F$18)^2)</f>
        <v>586411.34215500951</v>
      </c>
      <c r="P89" s="59">
        <f>P88</f>
        <v>426242</v>
      </c>
      <c r="Q89" s="59"/>
      <c r="R89" s="59">
        <f>R88</f>
        <v>-54401</v>
      </c>
      <c r="T89" s="59">
        <f>(P89+R89)/((1+INPUTS!$H$18)^2)</f>
        <v>281165.21739130438</v>
      </c>
    </row>
    <row r="90" spans="2:20" ht="20.100000000000001" hidden="1" customHeight="1" x14ac:dyDescent="0.2">
      <c r="B90" s="2" t="s">
        <v>53</v>
      </c>
      <c r="D90" s="59">
        <f>D89</f>
        <v>1319231</v>
      </c>
      <c r="E90" s="59"/>
      <c r="F90" s="59">
        <f>F89</f>
        <v>-304401</v>
      </c>
      <c r="H90" s="59">
        <f>(D90+F90)/((1+INPUTS!$D$18)^3)</f>
        <v>667267.19815895474</v>
      </c>
      <c r="J90" s="59">
        <f>J89</f>
        <v>829930</v>
      </c>
      <c r="K90" s="59"/>
      <c r="L90" s="59">
        <f>L89</f>
        <v>-54401</v>
      </c>
      <c r="N90" s="59">
        <f>(J90+L90)/((1+INPUTS!$F$18)^3)</f>
        <v>509922.90622174751</v>
      </c>
      <c r="P90" s="59">
        <f>P89</f>
        <v>426242</v>
      </c>
      <c r="Q90" s="59"/>
      <c r="R90" s="59">
        <f>R89</f>
        <v>-54401</v>
      </c>
      <c r="T90" s="59">
        <f>(P90+R90)/((1+INPUTS!$H$18)^3)</f>
        <v>244491.49338374299</v>
      </c>
    </row>
    <row r="91" spans="2:20" ht="20.100000000000001" hidden="1" customHeight="1" x14ac:dyDescent="0.2">
      <c r="B91" s="2" t="s">
        <v>54</v>
      </c>
      <c r="D91" s="59">
        <f>D90</f>
        <v>1319231</v>
      </c>
      <c r="E91" s="59"/>
      <c r="F91" s="59">
        <f>F90</f>
        <v>-304401</v>
      </c>
      <c r="H91" s="59">
        <f>(D91+F91)/((1+INPUTS!$D$18)^4)</f>
        <v>580232.3462251781</v>
      </c>
      <c r="J91" s="59">
        <f>J90</f>
        <v>829930</v>
      </c>
      <c r="K91" s="59"/>
      <c r="L91" s="59">
        <f>L90</f>
        <v>-54401</v>
      </c>
      <c r="N91" s="59">
        <f>(J91+L91)/((1+INPUTS!$F$18)^4)</f>
        <v>443411.22280151956</v>
      </c>
      <c r="P91" s="59">
        <f>P90</f>
        <v>426242</v>
      </c>
      <c r="Q91" s="59"/>
      <c r="R91" s="59">
        <f>R90</f>
        <v>-54401</v>
      </c>
      <c r="T91" s="59">
        <f>(P91+R91)/((1+INPUTS!$H$18)^4)</f>
        <v>212601.29859455914</v>
      </c>
    </row>
    <row r="92" spans="2:20" ht="20.100000000000001" hidden="1" customHeight="1" x14ac:dyDescent="0.2">
      <c r="B92" s="2" t="s">
        <v>58</v>
      </c>
      <c r="D92" s="59"/>
      <c r="E92" s="59"/>
      <c r="F92" s="59"/>
      <c r="H92" s="61">
        <f>SUM(H87:H91)</f>
        <v>3338083.77878867</v>
      </c>
      <c r="J92" s="59"/>
      <c r="K92" s="59"/>
      <c r="L92" s="59"/>
      <c r="N92" s="61">
        <f>SUM(N87:N91)</f>
        <v>2446796.7755261026</v>
      </c>
      <c r="P92" s="59"/>
      <c r="Q92" s="59"/>
      <c r="R92" s="59"/>
      <c r="T92" s="61">
        <f>SUM(T87:T91)</f>
        <v>943243.22676091082</v>
      </c>
    </row>
    <row r="93" spans="2:20" ht="20.100000000000001" hidden="1" customHeight="1" x14ac:dyDescent="0.2">
      <c r="B93" s="2" t="s">
        <v>59</v>
      </c>
      <c r="D93" s="59"/>
      <c r="E93" s="59"/>
      <c r="F93" s="62"/>
      <c r="G93" s="59"/>
      <c r="H93" s="59">
        <f>H73-H79</f>
        <v>-1750000</v>
      </c>
      <c r="J93" s="59"/>
      <c r="K93" s="59"/>
      <c r="L93" s="62"/>
      <c r="M93" s="59"/>
      <c r="N93" s="59">
        <f>N73-N79</f>
        <v>-1000000</v>
      </c>
      <c r="P93" s="59"/>
      <c r="Q93" s="59"/>
      <c r="R93" s="62"/>
      <c r="S93" s="59"/>
      <c r="T93" s="59">
        <f>T73-T79</f>
        <v>-1000000</v>
      </c>
    </row>
    <row r="94" spans="2:20" ht="20.100000000000001" hidden="1" customHeight="1" thickBot="1" x14ac:dyDescent="0.25">
      <c r="B94" s="2" t="s">
        <v>60</v>
      </c>
      <c r="D94" s="59"/>
      <c r="E94" s="59"/>
      <c r="F94" s="62"/>
      <c r="G94" s="59"/>
      <c r="H94" s="60">
        <f>SUM(H92:H93)</f>
        <v>1588083.77878867</v>
      </c>
      <c r="J94" s="59"/>
      <c r="K94" s="59"/>
      <c r="L94" s="62"/>
      <c r="M94" s="59"/>
      <c r="N94" s="60">
        <f>SUM(N92:N93)</f>
        <v>1446796.7755261026</v>
      </c>
      <c r="P94" s="59"/>
      <c r="Q94" s="59"/>
      <c r="R94" s="62"/>
      <c r="S94" s="59"/>
      <c r="T94" s="60">
        <f>SUM(T92:T93)</f>
        <v>-56756.773239089176</v>
      </c>
    </row>
    <row r="95" spans="2:20" ht="20.100000000000001" hidden="1" customHeight="1" thickTop="1" x14ac:dyDescent="0.2">
      <c r="D95" s="59"/>
      <c r="E95" s="59"/>
      <c r="F95" s="62"/>
      <c r="H95" s="62"/>
      <c r="J95" s="59"/>
      <c r="K95" s="59"/>
      <c r="L95" s="62"/>
      <c r="N95" s="62"/>
      <c r="P95" s="59"/>
      <c r="Q95" s="59"/>
      <c r="R95" s="62"/>
      <c r="T95" s="62"/>
    </row>
    <row r="96" spans="2:20" ht="20.100000000000001" hidden="1" customHeight="1" thickBot="1" x14ac:dyDescent="0.25">
      <c r="B96" s="2" t="s">
        <v>64</v>
      </c>
      <c r="C96" s="32"/>
      <c r="D96" s="77"/>
      <c r="E96" s="77"/>
      <c r="F96" s="77"/>
      <c r="G96" s="77"/>
      <c r="H96" s="78">
        <f>IRR(H86:H91)</f>
        <v>0.25636989446182512</v>
      </c>
      <c r="J96" s="77"/>
      <c r="K96" s="77"/>
      <c r="L96" s="77"/>
      <c r="M96" s="77"/>
      <c r="N96" s="78">
        <f>IRR(N86:N91)</f>
        <v>0.36677470938548606</v>
      </c>
      <c r="P96" s="77"/>
      <c r="Q96" s="77"/>
      <c r="R96" s="77"/>
      <c r="S96" s="77"/>
      <c r="T96" s="78">
        <f>IRR(T86:T91)</f>
        <v>-1.5997585623234167E-2</v>
      </c>
    </row>
    <row r="97" spans="1:20" ht="8.1" hidden="1" customHeight="1" thickTop="1" x14ac:dyDescent="0.2"/>
    <row r="98" spans="1:20" ht="8.1" customHeight="1" x14ac:dyDescent="0.2">
      <c r="A98" s="74"/>
      <c r="B98" s="75"/>
      <c r="C98" s="74"/>
      <c r="D98" s="76"/>
      <c r="E98" s="76"/>
      <c r="F98" s="76"/>
      <c r="G98" s="76"/>
      <c r="H98" s="76"/>
      <c r="J98" s="76"/>
      <c r="K98" s="76"/>
      <c r="L98" s="76"/>
      <c r="M98" s="76"/>
      <c r="N98" s="76"/>
      <c r="P98" s="76"/>
      <c r="Q98" s="76"/>
      <c r="R98" s="76"/>
      <c r="S98" s="76"/>
      <c r="T98" s="76"/>
    </row>
    <row r="99" spans="1:20" ht="20.100000000000001" customHeight="1" x14ac:dyDescent="0.2"/>
    <row r="100" spans="1:20" ht="20.100000000000001" customHeight="1" x14ac:dyDescent="0.2"/>
    <row r="101" spans="1:20" ht="20.100000000000001" customHeight="1" x14ac:dyDescent="0.2"/>
    <row r="102" spans="1:20" ht="20.100000000000001" customHeight="1" x14ac:dyDescent="0.2"/>
    <row r="103" spans="1:20" ht="20.100000000000001" customHeight="1" x14ac:dyDescent="0.2"/>
    <row r="104" spans="1:20" ht="20.100000000000001" customHeight="1" x14ac:dyDescent="0.2"/>
    <row r="105" spans="1:20" ht="20.100000000000001" customHeight="1" x14ac:dyDescent="0.2"/>
    <row r="106" spans="1:20" ht="20.100000000000001" customHeight="1" x14ac:dyDescent="0.2"/>
    <row r="107" spans="1:20" ht="20.100000000000001" customHeight="1" x14ac:dyDescent="0.2"/>
  </sheetData>
  <sheetProtection sheet="1" objects="1" scenarios="1" selectLockedCells="1" selectUnlockedCells="1"/>
  <mergeCells count="6">
    <mergeCell ref="D1:H1"/>
    <mergeCell ref="J1:N1"/>
    <mergeCell ref="P1:T1"/>
    <mergeCell ref="D13:H13"/>
    <mergeCell ref="J13:N13"/>
    <mergeCell ref="P13:T13"/>
  </mergeCells>
  <phoneticPr fontId="17" type="noConversion"/>
  <conditionalFormatting sqref="B67:B79 B81:B84">
    <cfRule type="cellIs" dxfId="171" priority="300" operator="equal">
      <formula>0</formula>
    </cfRule>
  </conditionalFormatting>
  <conditionalFormatting sqref="B87:B96">
    <cfRule type="cellIs" dxfId="170" priority="266" operator="equal">
      <formula>0</formula>
    </cfRule>
  </conditionalFormatting>
  <conditionalFormatting sqref="D79">
    <cfRule type="cellIs" dxfId="169" priority="295" operator="equal">
      <formula>0</formula>
    </cfRule>
  </conditionalFormatting>
  <conditionalFormatting sqref="D81:D82">
    <cfRule type="cellIs" dxfId="168" priority="285" operator="equal">
      <formula>0</formula>
    </cfRule>
  </conditionalFormatting>
  <conditionalFormatting sqref="D67:E71">
    <cfRule type="cellIs" dxfId="167" priority="319" operator="equal">
      <formula>0</formula>
    </cfRule>
  </conditionalFormatting>
  <conditionalFormatting sqref="D87:F92">
    <cfRule type="cellIs" dxfId="166" priority="256" operator="equal">
      <formula>0</formula>
    </cfRule>
  </conditionalFormatting>
  <conditionalFormatting sqref="D47:G47">
    <cfRule type="cellIs" dxfId="165" priority="17" operator="equal">
      <formula>0</formula>
    </cfRule>
  </conditionalFormatting>
  <conditionalFormatting sqref="D15:H24 E25:H26 D64:E64 G64:H64 D72:F72 G73:H74 D73:E75">
    <cfRule type="cellIs" dxfId="164" priority="324" operator="equal">
      <formula>0</formula>
    </cfRule>
  </conditionalFormatting>
  <conditionalFormatting sqref="D27:H43">
    <cfRule type="cellIs" dxfId="163" priority="15" operator="equal">
      <formula>0</formula>
    </cfRule>
  </conditionalFormatting>
  <conditionalFormatting sqref="D45:H45">
    <cfRule type="cellIs" dxfId="162" priority="199" operator="equal">
      <formula>0</formula>
    </cfRule>
  </conditionalFormatting>
  <conditionalFormatting sqref="D48:H63">
    <cfRule type="cellIs" dxfId="161" priority="296" operator="equal">
      <formula>0</formula>
    </cfRule>
  </conditionalFormatting>
  <conditionalFormatting sqref="D85:H85">
    <cfRule type="cellIs" dxfId="160" priority="204" operator="equal">
      <formula>0</formula>
    </cfRule>
  </conditionalFormatting>
  <conditionalFormatting sqref="D98:H98">
    <cfRule type="cellIs" dxfId="159" priority="200" operator="equal">
      <formula>0</formula>
    </cfRule>
  </conditionalFormatting>
  <conditionalFormatting sqref="F8">
    <cfRule type="cellIs" dxfId="158" priority="5" operator="equal">
      <formula>0</formula>
    </cfRule>
  </conditionalFormatting>
  <conditionalFormatting sqref="F79">
    <cfRule type="cellIs" dxfId="157" priority="293" operator="equal">
      <formula>0</formula>
    </cfRule>
  </conditionalFormatting>
  <conditionalFormatting sqref="F81:F82">
    <cfRule type="cellIs" dxfId="156" priority="283" operator="equal">
      <formula>0</formula>
    </cfRule>
  </conditionalFormatting>
  <conditionalFormatting sqref="G93:H94 D93:E95">
    <cfRule type="cellIs" dxfId="155" priority="280" operator="equal">
      <formula>0</formula>
    </cfRule>
  </conditionalFormatting>
  <conditionalFormatting sqref="H11">
    <cfRule type="cellIs" dxfId="154" priority="69" operator="equal">
      <formula>0</formula>
    </cfRule>
  </conditionalFormatting>
  <conditionalFormatting sqref="H67:H74">
    <cfRule type="cellIs" dxfId="153" priority="301" operator="equal">
      <formula>0</formula>
    </cfRule>
  </conditionalFormatting>
  <conditionalFormatting sqref="H79">
    <cfRule type="cellIs" dxfId="152" priority="291" operator="equal">
      <formula>0</formula>
    </cfRule>
  </conditionalFormatting>
  <conditionalFormatting sqref="H81:H83">
    <cfRule type="cellIs" dxfId="151" priority="202" operator="equal">
      <formula>0</formula>
    </cfRule>
  </conditionalFormatting>
  <conditionalFormatting sqref="H87:H94">
    <cfRule type="cellIs" dxfId="150" priority="267" operator="equal">
      <formula>0</formula>
    </cfRule>
  </conditionalFormatting>
  <conditionalFormatting sqref="J79">
    <cfRule type="cellIs" dxfId="149" priority="182" operator="equal">
      <formula>0</formula>
    </cfRule>
  </conditionalFormatting>
  <conditionalFormatting sqref="J81:J82">
    <cfRule type="cellIs" dxfId="148" priority="172" operator="equal">
      <formula>0</formula>
    </cfRule>
  </conditionalFormatting>
  <conditionalFormatting sqref="J47:K47">
    <cfRule type="cellIs" dxfId="147" priority="140" operator="equal">
      <formula>0</formula>
    </cfRule>
  </conditionalFormatting>
  <conditionalFormatting sqref="J64:K64 M64:N64 J72:L72 M73:N74 J73:K75">
    <cfRule type="cellIs" dxfId="146" priority="196" operator="equal">
      <formula>0</formula>
    </cfRule>
  </conditionalFormatting>
  <conditionalFormatting sqref="J67:K71">
    <cfRule type="cellIs" dxfId="145" priority="191" operator="equal">
      <formula>0</formula>
    </cfRule>
  </conditionalFormatting>
  <conditionalFormatting sqref="J87:L92">
    <cfRule type="cellIs" dxfId="144" priority="146" operator="equal">
      <formula>0</formula>
    </cfRule>
  </conditionalFormatting>
  <conditionalFormatting sqref="J15:N24 K25:N26">
    <cfRule type="cellIs" dxfId="143" priority="54" operator="equal">
      <formula>0</formula>
    </cfRule>
  </conditionalFormatting>
  <conditionalFormatting sqref="J27:N43">
    <cfRule type="cellIs" dxfId="142" priority="11" operator="equal">
      <formula>0</formula>
    </cfRule>
  </conditionalFormatting>
  <conditionalFormatting sqref="J45:N45">
    <cfRule type="cellIs" dxfId="141" priority="141" operator="equal">
      <formula>0</formula>
    </cfRule>
  </conditionalFormatting>
  <conditionalFormatting sqref="J48:N63">
    <cfRule type="cellIs" dxfId="140" priority="183" operator="equal">
      <formula>0</formula>
    </cfRule>
  </conditionalFormatting>
  <conditionalFormatting sqref="J85:N85">
    <cfRule type="cellIs" dxfId="139" priority="145" operator="equal">
      <formula>0</formula>
    </cfRule>
  </conditionalFormatting>
  <conditionalFormatting sqref="J98:N98">
    <cfRule type="cellIs" dxfId="138" priority="142" operator="equal">
      <formula>0</formula>
    </cfRule>
  </conditionalFormatting>
  <conditionalFormatting sqref="L8">
    <cfRule type="cellIs" dxfId="137" priority="3" operator="equal">
      <formula>0</formula>
    </cfRule>
  </conditionalFormatting>
  <conditionalFormatting sqref="L79">
    <cfRule type="cellIs" dxfId="136" priority="180" operator="equal">
      <formula>0</formula>
    </cfRule>
  </conditionalFormatting>
  <conditionalFormatting sqref="L81:L82">
    <cfRule type="cellIs" dxfId="135" priority="170" operator="equal">
      <formula>0</formula>
    </cfRule>
  </conditionalFormatting>
  <conditionalFormatting sqref="M93:N94 J93:K95">
    <cfRule type="cellIs" dxfId="134" priority="167" operator="equal">
      <formula>0</formula>
    </cfRule>
  </conditionalFormatting>
  <conditionalFormatting sqref="N11">
    <cfRule type="cellIs" dxfId="133" priority="49" operator="equal">
      <formula>0</formula>
    </cfRule>
  </conditionalFormatting>
  <conditionalFormatting sqref="N67:N74">
    <cfRule type="cellIs" dxfId="132" priority="185" operator="equal">
      <formula>0</formula>
    </cfRule>
  </conditionalFormatting>
  <conditionalFormatting sqref="N79">
    <cfRule type="cellIs" dxfId="131" priority="178" operator="equal">
      <formula>0</formula>
    </cfRule>
  </conditionalFormatting>
  <conditionalFormatting sqref="N81:N83">
    <cfRule type="cellIs" dxfId="130" priority="143" operator="equal">
      <formula>0</formula>
    </cfRule>
  </conditionalFormatting>
  <conditionalFormatting sqref="N87:N94">
    <cfRule type="cellIs" dxfId="129" priority="156" operator="equal">
      <formula>0</formula>
    </cfRule>
  </conditionalFormatting>
  <conditionalFormatting sqref="P79">
    <cfRule type="cellIs" dxfId="128" priority="125" operator="equal">
      <formula>0</formula>
    </cfRule>
  </conditionalFormatting>
  <conditionalFormatting sqref="P81:P82">
    <cfRule type="cellIs" dxfId="127" priority="115" operator="equal">
      <formula>0</formula>
    </cfRule>
  </conditionalFormatting>
  <conditionalFormatting sqref="P47:Q47">
    <cfRule type="cellIs" dxfId="126" priority="83" operator="equal">
      <formula>0</formula>
    </cfRule>
  </conditionalFormatting>
  <conditionalFormatting sqref="P64:Q64 S64:T64 P72:R72 S73:T74 P73:Q75">
    <cfRule type="cellIs" dxfId="125" priority="139" operator="equal">
      <formula>0</formula>
    </cfRule>
  </conditionalFormatting>
  <conditionalFormatting sqref="P67:Q71">
    <cfRule type="cellIs" dxfId="124" priority="134" operator="equal">
      <formula>0</formula>
    </cfRule>
  </conditionalFormatting>
  <conditionalFormatting sqref="P87:R92">
    <cfRule type="cellIs" dxfId="123" priority="89" operator="equal">
      <formula>0</formula>
    </cfRule>
  </conditionalFormatting>
  <conditionalFormatting sqref="P15:T24 Q25:T26">
    <cfRule type="cellIs" dxfId="122" priority="36" operator="equal">
      <formula>0</formula>
    </cfRule>
  </conditionalFormatting>
  <conditionalFormatting sqref="P27:T43">
    <cfRule type="cellIs" dxfId="121" priority="7" operator="equal">
      <formula>0</formula>
    </cfRule>
  </conditionalFormatting>
  <conditionalFormatting sqref="P45:T45">
    <cfRule type="cellIs" dxfId="120" priority="84" operator="equal">
      <formula>0</formula>
    </cfRule>
  </conditionalFormatting>
  <conditionalFormatting sqref="P48:T63">
    <cfRule type="cellIs" dxfId="119" priority="126" operator="equal">
      <formula>0</formula>
    </cfRule>
  </conditionalFormatting>
  <conditionalFormatting sqref="P85:T85">
    <cfRule type="cellIs" dxfId="118" priority="88" operator="equal">
      <formula>0</formula>
    </cfRule>
  </conditionalFormatting>
  <conditionalFormatting sqref="P98:T98">
    <cfRule type="cellIs" dxfId="117" priority="85" operator="equal">
      <formula>0</formula>
    </cfRule>
  </conditionalFormatting>
  <conditionalFormatting sqref="R8">
    <cfRule type="cellIs" dxfId="116" priority="1" operator="equal">
      <formula>0</formula>
    </cfRule>
  </conditionalFormatting>
  <conditionalFormatting sqref="R79">
    <cfRule type="cellIs" dxfId="115" priority="123" operator="equal">
      <formula>0</formula>
    </cfRule>
  </conditionalFormatting>
  <conditionalFormatting sqref="R81:R82">
    <cfRule type="cellIs" dxfId="114" priority="113" operator="equal">
      <formula>0</formula>
    </cfRule>
  </conditionalFormatting>
  <conditionalFormatting sqref="S93:T94 P93:Q95">
    <cfRule type="cellIs" dxfId="113" priority="110" operator="equal">
      <formula>0</formula>
    </cfRule>
  </conditionalFormatting>
  <conditionalFormatting sqref="T11">
    <cfRule type="cellIs" dxfId="112" priority="31" operator="equal">
      <formula>0</formula>
    </cfRule>
  </conditionalFormatting>
  <conditionalFormatting sqref="T67:T74">
    <cfRule type="cellIs" dxfId="111" priority="128" operator="equal">
      <formula>0</formula>
    </cfRule>
  </conditionalFormatting>
  <conditionalFormatting sqref="T79">
    <cfRule type="cellIs" dxfId="110" priority="121" operator="equal">
      <formula>0</formula>
    </cfRule>
  </conditionalFormatting>
  <conditionalFormatting sqref="T81:T83">
    <cfRule type="cellIs" dxfId="109" priority="86" operator="equal">
      <formula>0</formula>
    </cfRule>
  </conditionalFormatting>
  <conditionalFormatting sqref="T87:T94">
    <cfRule type="cellIs" dxfId="108" priority="99"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A31BB-42DA-49F7-B4C1-2BE1E319CF47}">
  <dimension ref="A1:J256"/>
  <sheetViews>
    <sheetView showGridLines="0" zoomScale="115" zoomScaleNormal="115" workbookViewId="0">
      <pane ySplit="1" topLeftCell="A82" activePane="bottomLeft" state="frozen"/>
      <selection pane="bottomLeft" activeCell="A68" sqref="A68"/>
    </sheetView>
  </sheetViews>
  <sheetFormatPr defaultRowHeight="15" x14ac:dyDescent="0.25"/>
  <cols>
    <col min="1" max="1" width="88.42578125" customWidth="1"/>
    <col min="2" max="2" width="8.7109375" customWidth="1"/>
    <col min="3" max="3" width="10.140625" bestFit="1" customWidth="1"/>
    <col min="4" max="4" width="12.7109375" style="14" customWidth="1"/>
    <col min="5" max="5" width="2.28515625" style="14" customWidth="1"/>
    <col min="6" max="6" width="8.7109375" style="14" customWidth="1"/>
    <col min="7" max="7" width="12.7109375" style="14" customWidth="1"/>
    <col min="8" max="8" width="2.28515625" style="14" customWidth="1"/>
    <col min="9" max="9" width="12.7109375" style="14" customWidth="1"/>
  </cols>
  <sheetData>
    <row r="1" spans="1:9" ht="24.95" customHeight="1" x14ac:dyDescent="0.25">
      <c r="A1" s="143" t="s">
        <v>186</v>
      </c>
      <c r="B1" s="143"/>
      <c r="C1" s="143"/>
      <c r="D1" s="143"/>
      <c r="E1" s="143"/>
      <c r="F1" s="143"/>
      <c r="G1" s="143"/>
      <c r="H1" s="143"/>
      <c r="I1" s="143"/>
    </row>
    <row r="2" spans="1:9" ht="9.9499999999999993" customHeight="1" x14ac:dyDescent="0.25">
      <c r="A2" s="8"/>
      <c r="B2" s="9"/>
      <c r="C2" s="9"/>
      <c r="D2" s="10"/>
      <c r="E2" s="10"/>
      <c r="F2" s="10"/>
      <c r="G2" s="10"/>
      <c r="H2" s="10"/>
      <c r="I2" s="10"/>
    </row>
    <row r="3" spans="1:9" ht="20.100000000000001" customHeight="1" x14ac:dyDescent="0.25">
      <c r="A3" s="7" t="s">
        <v>0</v>
      </c>
      <c r="C3" s="144" t="s">
        <v>6</v>
      </c>
      <c r="D3" s="144"/>
      <c r="E3" s="33"/>
      <c r="F3" s="144" t="s">
        <v>7</v>
      </c>
      <c r="G3" s="144"/>
      <c r="H3" s="33"/>
    </row>
    <row r="4" spans="1:9" x14ac:dyDescent="0.25">
      <c r="A4" s="26" t="s">
        <v>8</v>
      </c>
      <c r="D4" s="24"/>
      <c r="E4" s="24"/>
      <c r="G4" s="24"/>
      <c r="H4" s="24"/>
      <c r="I4" s="24"/>
    </row>
    <row r="5" spans="1:9" ht="20.100000000000001" customHeight="1" x14ac:dyDescent="0.25">
      <c r="A5" s="27" t="s">
        <v>112</v>
      </c>
      <c r="D5" s="57">
        <f>INPUTS!$D$11</f>
        <v>180</v>
      </c>
      <c r="E5" s="1"/>
      <c r="G5" s="57">
        <f>INPUTS!$D$13</f>
        <v>120</v>
      </c>
      <c r="H5" s="1"/>
      <c r="I5" s="57">
        <f>D5+G5</f>
        <v>300</v>
      </c>
    </row>
    <row r="6" spans="1:9" ht="20.100000000000001" customHeight="1" x14ac:dyDescent="0.25">
      <c r="A6" s="2" t="s">
        <v>135</v>
      </c>
      <c r="C6" s="13">
        <f>INPUTS!$D$10</f>
        <v>0.6</v>
      </c>
      <c r="D6" s="1">
        <f>-ROUND(D5*C6,0)</f>
        <v>-108</v>
      </c>
      <c r="E6" s="1"/>
      <c r="F6" s="13">
        <f>C6</f>
        <v>0.6</v>
      </c>
      <c r="G6" s="1">
        <f>-ROUND(G5*F6,0)</f>
        <v>-72</v>
      </c>
      <c r="H6" s="1"/>
      <c r="I6" s="57">
        <f>D6+G6</f>
        <v>-180</v>
      </c>
    </row>
    <row r="7" spans="1:9" ht="20.100000000000001" customHeight="1" thickBot="1" x14ac:dyDescent="0.3">
      <c r="A7" s="2" t="s">
        <v>121</v>
      </c>
      <c r="B7" s="12"/>
      <c r="D7" s="4">
        <f>SUM(D5:D6)</f>
        <v>72</v>
      </c>
      <c r="E7" s="1"/>
      <c r="G7" s="4">
        <f>SUM(G5:G6)</f>
        <v>48</v>
      </c>
      <c r="H7" s="1"/>
      <c r="I7" s="57">
        <f>D7+G7</f>
        <v>120</v>
      </c>
    </row>
    <row r="8" spans="1:9" ht="8.1" customHeight="1" thickTop="1" x14ac:dyDescent="0.25">
      <c r="A8" s="2"/>
      <c r="B8" s="12"/>
      <c r="C8" s="12"/>
      <c r="D8" s="1"/>
      <c r="E8" s="1"/>
      <c r="F8" s="1"/>
      <c r="G8" s="25"/>
      <c r="H8" s="25"/>
      <c r="I8" s="25"/>
    </row>
    <row r="9" spans="1:9" ht="9.9499999999999993" customHeight="1" x14ac:dyDescent="0.25">
      <c r="A9" s="8"/>
      <c r="B9" s="9"/>
      <c r="C9" s="9"/>
      <c r="D9" s="10"/>
      <c r="E9" s="10"/>
      <c r="F9" s="10"/>
      <c r="G9" s="10"/>
      <c r="H9" s="10"/>
      <c r="I9" s="10"/>
    </row>
    <row r="10" spans="1:9" ht="20.100000000000001" customHeight="1" x14ac:dyDescent="0.25">
      <c r="A10" s="7" t="s">
        <v>5</v>
      </c>
      <c r="C10" s="146" t="s">
        <v>26</v>
      </c>
      <c r="D10" s="146"/>
      <c r="E10" s="1"/>
      <c r="F10" s="146" t="s">
        <v>27</v>
      </c>
      <c r="G10" s="146"/>
      <c r="H10" s="1"/>
      <c r="I10" s="36" t="s">
        <v>85</v>
      </c>
    </row>
    <row r="11" spans="1:9" ht="8.1" customHeight="1" x14ac:dyDescent="0.25">
      <c r="A11" s="7"/>
      <c r="D11"/>
      <c r="E11"/>
      <c r="F11"/>
      <c r="G11"/>
      <c r="H11"/>
      <c r="I11"/>
    </row>
    <row r="12" spans="1:9" ht="20.100000000000001" customHeight="1" x14ac:dyDescent="0.25">
      <c r="A12" s="2" t="s">
        <v>113</v>
      </c>
      <c r="D12" s="29">
        <f>INPUTS!$D$67</f>
        <v>8</v>
      </c>
      <c r="E12" s="1"/>
      <c r="F12"/>
      <c r="G12" s="29">
        <f>D12</f>
        <v>8</v>
      </c>
      <c r="H12" s="1"/>
      <c r="I12" s="1"/>
    </row>
    <row r="13" spans="1:9" ht="20.100000000000001" customHeight="1" thickBot="1" x14ac:dyDescent="0.3">
      <c r="A13" s="27" t="s">
        <v>111</v>
      </c>
      <c r="C13" s="93">
        <f>$D$5</f>
        <v>180</v>
      </c>
      <c r="D13" s="19">
        <f>ROUND(-$D$12*C13,0)</f>
        <v>-1440</v>
      </c>
      <c r="E13" s="1"/>
      <c r="F13" s="93">
        <f>$G$5</f>
        <v>120</v>
      </c>
      <c r="G13" s="19">
        <f>ROUND(-$G$12*F13,0)</f>
        <v>-960</v>
      </c>
      <c r="H13" s="1"/>
      <c r="I13" s="19">
        <f>D13+G13</f>
        <v>-2400</v>
      </c>
    </row>
    <row r="14" spans="1:9" ht="9.9499999999999993" customHeight="1" thickTop="1" x14ac:dyDescent="0.25">
      <c r="A14" s="2"/>
      <c r="D14" s="1"/>
      <c r="E14" s="1"/>
      <c r="F14" s="1"/>
      <c r="G14" s="1"/>
      <c r="H14" s="1"/>
      <c r="I14" s="1"/>
    </row>
    <row r="15" spans="1:9" ht="20.100000000000001" customHeight="1" x14ac:dyDescent="0.25">
      <c r="A15" s="2" t="s">
        <v>136</v>
      </c>
      <c r="D15" s="29">
        <f>INPUTS!$D$68</f>
        <v>340</v>
      </c>
      <c r="E15" s="1"/>
      <c r="F15"/>
      <c r="G15" s="29">
        <f>$D$15</f>
        <v>340</v>
      </c>
      <c r="H15" s="1"/>
      <c r="I15" s="1"/>
    </row>
    <row r="16" spans="1:9" ht="20.100000000000001" customHeight="1" x14ac:dyDescent="0.25">
      <c r="A16" s="27" t="s">
        <v>109</v>
      </c>
      <c r="C16" s="34">
        <f>$D$35+$G$35</f>
        <v>55</v>
      </c>
      <c r="D16" s="16">
        <f>ROUND($D$15*C16,0)</f>
        <v>18700</v>
      </c>
      <c r="E16" s="1"/>
      <c r="F16" s="34">
        <f>D82+G82</f>
        <v>37</v>
      </c>
      <c r="G16" s="16">
        <f>ROUND($D$15*F16,0)</f>
        <v>12580</v>
      </c>
      <c r="H16" s="1"/>
      <c r="I16" s="16">
        <f>D16+G16</f>
        <v>31280</v>
      </c>
    </row>
    <row r="17" spans="1:10" s="94" customFormat="1" ht="20.100000000000001" customHeight="1" x14ac:dyDescent="0.25">
      <c r="A17" s="27" t="s">
        <v>110</v>
      </c>
      <c r="C17" s="95">
        <f>$D$34+$G$34</f>
        <v>-3</v>
      </c>
      <c r="D17" s="96">
        <f>ROUND($D$15*$C$18,0)</f>
        <v>-340</v>
      </c>
      <c r="E17" s="97"/>
      <c r="F17" s="95">
        <f>$D$81+$G$81</f>
        <v>-2</v>
      </c>
      <c r="G17" s="96">
        <f>ROUND($D$15*$F$18,0)</f>
        <v>-680</v>
      </c>
      <c r="H17" s="97"/>
      <c r="I17" s="96">
        <f>D17+G17</f>
        <v>-1020</v>
      </c>
    </row>
    <row r="18" spans="1:10" s="94" customFormat="1" ht="20.100000000000001" customHeight="1" x14ac:dyDescent="0.25">
      <c r="A18" s="2" t="s">
        <v>129</v>
      </c>
      <c r="C18" s="95">
        <f>$D$36+$G$36</f>
        <v>-1</v>
      </c>
      <c r="D18" s="96">
        <f>ROUND($D$15*$C$18,0)</f>
        <v>-340</v>
      </c>
      <c r="E18" s="97"/>
      <c r="F18" s="95">
        <f>$D$81+$G$81</f>
        <v>-2</v>
      </c>
      <c r="G18" s="96">
        <f>ROUND($D$15*$F$18,0)</f>
        <v>-680</v>
      </c>
      <c r="H18" s="97"/>
      <c r="I18" s="96">
        <f>D18+G18</f>
        <v>-1020</v>
      </c>
    </row>
    <row r="19" spans="1:10" ht="20.100000000000001" customHeight="1" thickBot="1" x14ac:dyDescent="0.3">
      <c r="A19" s="27" t="s">
        <v>114</v>
      </c>
      <c r="C19" s="35">
        <f>SUM(C16:C18)</f>
        <v>51</v>
      </c>
      <c r="D19" s="18">
        <f>SUM(D16:D18)</f>
        <v>18020</v>
      </c>
      <c r="E19" s="1"/>
      <c r="F19" s="35">
        <f>SUM(F16:F18)</f>
        <v>33</v>
      </c>
      <c r="G19" s="18">
        <f>SUM(G16:G18)</f>
        <v>11220</v>
      </c>
      <c r="H19" s="1"/>
      <c r="I19" s="18">
        <f>SUM(I16:I18)</f>
        <v>29240</v>
      </c>
    </row>
    <row r="20" spans="1:10" ht="8.1" customHeight="1" thickTop="1" x14ac:dyDescent="0.25">
      <c r="A20" s="2"/>
      <c r="D20" s="1"/>
      <c r="E20" s="1"/>
      <c r="F20" s="1"/>
      <c r="G20" s="1"/>
      <c r="H20" s="1"/>
      <c r="I20" s="1"/>
    </row>
    <row r="21" spans="1:10" ht="20.100000000000001" customHeight="1" x14ac:dyDescent="0.25">
      <c r="A21" s="2" t="s">
        <v>115</v>
      </c>
      <c r="D21" s="29">
        <f>INPUTS!$D$69</f>
        <v>333</v>
      </c>
      <c r="E21" s="1"/>
      <c r="F21"/>
      <c r="G21" s="29">
        <f>D21</f>
        <v>333</v>
      </c>
      <c r="H21" s="1"/>
      <c r="I21" s="1"/>
      <c r="J21" s="23"/>
    </row>
    <row r="22" spans="1:10" ht="20.100000000000001" customHeight="1" thickBot="1" x14ac:dyDescent="0.3">
      <c r="A22" s="27" t="s">
        <v>116</v>
      </c>
      <c r="C22" s="34">
        <f>C19</f>
        <v>51</v>
      </c>
      <c r="D22" s="19">
        <f>ROUND(-$D$21*C22,0)</f>
        <v>-16983</v>
      </c>
      <c r="E22" s="1"/>
      <c r="F22" s="34">
        <f>F19</f>
        <v>33</v>
      </c>
      <c r="G22" s="19">
        <f>ROUND(-$G$21*F22,0)</f>
        <v>-10989</v>
      </c>
      <c r="H22" s="16"/>
      <c r="I22" s="19">
        <f>D22+G22</f>
        <v>-27972</v>
      </c>
    </row>
    <row r="23" spans="1:10" ht="8.1" customHeight="1" thickTop="1" x14ac:dyDescent="0.25">
      <c r="A23" s="2"/>
      <c r="D23"/>
      <c r="E23"/>
      <c r="F23"/>
      <c r="G23"/>
      <c r="H23"/>
      <c r="I23"/>
    </row>
    <row r="24" spans="1:10" ht="20.100000000000001" customHeight="1" thickBot="1" x14ac:dyDescent="0.3">
      <c r="A24" s="2" t="s">
        <v>88</v>
      </c>
      <c r="D24" s="19">
        <f>D13+D19+D22</f>
        <v>-403</v>
      </c>
      <c r="E24" s="1"/>
      <c r="F24"/>
      <c r="G24" s="19">
        <f>G13+G19+G22</f>
        <v>-729</v>
      </c>
      <c r="H24" s="16"/>
      <c r="I24" s="19">
        <f>D24+G24</f>
        <v>-1132</v>
      </c>
    </row>
    <row r="25" spans="1:10" ht="8.1" customHeight="1" thickTop="1" x14ac:dyDescent="0.25">
      <c r="A25" s="2"/>
      <c r="D25" s="1"/>
      <c r="E25" s="1"/>
      <c r="F25" s="1"/>
      <c r="G25" s="1"/>
      <c r="H25" s="1"/>
      <c r="I25" s="1"/>
    </row>
    <row r="26" spans="1:10" ht="9.9499999999999993" customHeight="1" x14ac:dyDescent="0.25">
      <c r="A26" s="8"/>
      <c r="B26" s="9"/>
      <c r="C26" s="9"/>
      <c r="D26" s="10"/>
      <c r="E26" s="10"/>
      <c r="F26" s="10"/>
      <c r="G26" s="10"/>
      <c r="H26" s="10"/>
      <c r="I26" s="10"/>
    </row>
    <row r="27" spans="1:10" ht="20.100000000000001" customHeight="1" x14ac:dyDescent="0.25">
      <c r="A27" s="7" t="s">
        <v>101</v>
      </c>
      <c r="C27" s="146" t="s">
        <v>15</v>
      </c>
      <c r="D27" s="146"/>
      <c r="E27" s="1"/>
      <c r="F27" s="146" t="s">
        <v>16</v>
      </c>
      <c r="G27" s="146"/>
      <c r="H27" s="28"/>
      <c r="I27" s="92" t="s">
        <v>14</v>
      </c>
    </row>
    <row r="28" spans="1:10" ht="8.1" customHeight="1" x14ac:dyDescent="0.25">
      <c r="A28" s="7"/>
      <c r="D28"/>
      <c r="E28"/>
      <c r="F28"/>
      <c r="G28"/>
      <c r="H28"/>
      <c r="I28"/>
    </row>
    <row r="29" spans="1:10" ht="20.100000000000001" customHeight="1" x14ac:dyDescent="0.25">
      <c r="A29" s="2" t="s">
        <v>12</v>
      </c>
      <c r="C29" s="30"/>
      <c r="D29" s="29">
        <f>INPUTS!$D$28</f>
        <v>350000</v>
      </c>
      <c r="E29" s="1"/>
      <c r="F29" s="1"/>
      <c r="G29" s="29">
        <f>INPUTS!$D$33</f>
        <v>600000</v>
      </c>
      <c r="H29" s="1"/>
      <c r="I29" s="1"/>
    </row>
    <row r="30" spans="1:10" ht="9.9499999999999993" customHeight="1" x14ac:dyDescent="0.25">
      <c r="A30" s="2"/>
      <c r="D30" s="1"/>
      <c r="E30" s="1"/>
      <c r="F30" s="1"/>
      <c r="G30" s="1"/>
      <c r="H30" s="1"/>
      <c r="I30" s="1"/>
    </row>
    <row r="31" spans="1:10" ht="20.100000000000001" customHeight="1" thickBot="1" x14ac:dyDescent="0.3">
      <c r="A31" s="2" t="s">
        <v>89</v>
      </c>
      <c r="B31" s="31">
        <f>D7</f>
        <v>72</v>
      </c>
      <c r="C31" s="13">
        <f>INPUTS!$D$22</f>
        <v>0.7</v>
      </c>
      <c r="D31" s="1">
        <f>ROUND($B$31*$C$31,0)</f>
        <v>50</v>
      </c>
      <c r="E31" s="1"/>
      <c r="F31" s="13">
        <f>1-C31</f>
        <v>0.30000000000000004</v>
      </c>
      <c r="G31" s="1">
        <f>B31-D31</f>
        <v>22</v>
      </c>
      <c r="H31" s="1"/>
      <c r="I31" s="1">
        <f>D31+G31</f>
        <v>72</v>
      </c>
    </row>
    <row r="32" spans="1:10" ht="20.100000000000001" customHeight="1" thickTop="1" x14ac:dyDescent="0.25">
      <c r="A32" s="2" t="s">
        <v>177</v>
      </c>
      <c r="C32" s="13">
        <f>INPUTS!$D$23</f>
        <v>0.2</v>
      </c>
      <c r="D32" s="1">
        <f>-ROUND(D31*C32,0)</f>
        <v>-10</v>
      </c>
      <c r="E32" s="1"/>
      <c r="F32" s="13">
        <f>$C$32</f>
        <v>0.2</v>
      </c>
      <c r="G32" s="1">
        <f>-ROUND(G31*F32,0)</f>
        <v>-4</v>
      </c>
      <c r="H32" s="1"/>
      <c r="I32" s="1">
        <f>D32+G32</f>
        <v>-14</v>
      </c>
    </row>
    <row r="33" spans="1:9" ht="20.100000000000001" customHeight="1" x14ac:dyDescent="0.25">
      <c r="A33" s="2" t="s">
        <v>137</v>
      </c>
      <c r="B33" s="12"/>
      <c r="D33" s="3">
        <f>SUM(D31:D32)</f>
        <v>40</v>
      </c>
      <c r="E33" s="1"/>
      <c r="F33" s="3"/>
      <c r="G33" s="3">
        <f>SUM(G31:G32)</f>
        <v>18</v>
      </c>
      <c r="H33" s="1"/>
      <c r="I33" s="3">
        <f>SUM(I31:I32)</f>
        <v>58</v>
      </c>
    </row>
    <row r="34" spans="1:9" ht="20.100000000000001" customHeight="1" x14ac:dyDescent="0.25">
      <c r="A34" s="2" t="s">
        <v>178</v>
      </c>
      <c r="B34" s="12"/>
      <c r="C34" s="13">
        <f>INPUTS!$D$24</f>
        <v>0.05</v>
      </c>
      <c r="D34" s="1">
        <f>-ROUND(D33*C34,0)</f>
        <v>-2</v>
      </c>
      <c r="E34" s="1"/>
      <c r="F34" s="13">
        <f>$C$34</f>
        <v>0.05</v>
      </c>
      <c r="G34" s="1">
        <f>-ROUND(G33*F34,0)</f>
        <v>-1</v>
      </c>
      <c r="H34" s="1"/>
      <c r="I34" s="1">
        <f>D34+G34</f>
        <v>-3</v>
      </c>
    </row>
    <row r="35" spans="1:9" ht="20.100000000000001" customHeight="1" x14ac:dyDescent="0.25">
      <c r="A35" s="2" t="s">
        <v>128</v>
      </c>
      <c r="B35" s="12"/>
      <c r="D35" s="3">
        <f>SUM(D33:D34)</f>
        <v>38</v>
      </c>
      <c r="E35" s="1"/>
      <c r="F35"/>
      <c r="G35" s="3">
        <f>SUM(G33:G34)</f>
        <v>17</v>
      </c>
      <c r="H35" s="1"/>
      <c r="I35" s="3">
        <f>SUM(I33:I34)</f>
        <v>55</v>
      </c>
    </row>
    <row r="36" spans="1:9" ht="20.100000000000001" customHeight="1" x14ac:dyDescent="0.25">
      <c r="A36" s="2" t="s">
        <v>129</v>
      </c>
      <c r="B36" s="12"/>
      <c r="C36" s="13">
        <f>INPUTS!$D$25</f>
        <v>0.02</v>
      </c>
      <c r="D36" s="1">
        <f>-ROUND(D35*C36,0)</f>
        <v>-1</v>
      </c>
      <c r="E36" s="1"/>
      <c r="F36" s="13">
        <f>$C$36</f>
        <v>0.02</v>
      </c>
      <c r="G36" s="1">
        <f>-ROUND(G35*F36,0)</f>
        <v>0</v>
      </c>
      <c r="H36" s="1"/>
      <c r="I36" s="1">
        <f>D36+G36</f>
        <v>-1</v>
      </c>
    </row>
    <row r="37" spans="1:9" ht="20.100000000000001" customHeight="1" x14ac:dyDescent="0.25">
      <c r="A37" s="2" t="s">
        <v>117</v>
      </c>
      <c r="B37" s="12"/>
      <c r="D37" s="3">
        <f>SUM(D35:D36)</f>
        <v>37</v>
      </c>
      <c r="E37" s="1"/>
      <c r="F37"/>
      <c r="G37" s="3">
        <f>SUM(G35:G36)</f>
        <v>17</v>
      </c>
      <c r="H37" s="1"/>
      <c r="I37" s="3">
        <f>SUM(I35:I36)</f>
        <v>54</v>
      </c>
    </row>
    <row r="38" spans="1:9" ht="20.100000000000001" customHeight="1" x14ac:dyDescent="0.25">
      <c r="A38" s="2" t="s">
        <v>118</v>
      </c>
      <c r="C38" s="13">
        <f>INPUTS!$D$26</f>
        <v>0.03</v>
      </c>
      <c r="D38" s="1">
        <f>-ROUND(D37*C38,0)</f>
        <v>-1</v>
      </c>
      <c r="E38" s="1"/>
      <c r="F38" s="13">
        <f>$C$38</f>
        <v>0.03</v>
      </c>
      <c r="G38" s="1">
        <f>-ROUND(G37*F38,0)</f>
        <v>-1</v>
      </c>
      <c r="H38" s="1"/>
      <c r="I38" s="1">
        <f>D38+G38</f>
        <v>-2</v>
      </c>
    </row>
    <row r="39" spans="1:9" ht="20.100000000000001" customHeight="1" x14ac:dyDescent="0.25">
      <c r="A39" s="2" t="s">
        <v>120</v>
      </c>
      <c r="D39" s="3">
        <f>SUM(D37:D38)</f>
        <v>36</v>
      </c>
      <c r="E39" s="1"/>
      <c r="F39" s="3"/>
      <c r="G39" s="3">
        <f>SUM(G37:G38)</f>
        <v>16</v>
      </c>
      <c r="H39" s="1"/>
      <c r="I39" s="3">
        <f>SUM(I37:I38)</f>
        <v>52</v>
      </c>
    </row>
    <row r="40" spans="1:9" ht="20.100000000000001" customHeight="1" x14ac:dyDescent="0.25">
      <c r="A40" s="2" t="s">
        <v>90</v>
      </c>
      <c r="C40" s="13">
        <f>INPUTS!$D$39</f>
        <v>0.94</v>
      </c>
      <c r="D40" s="1">
        <f>-ROUND(D39*C40,0)</f>
        <v>-34</v>
      </c>
      <c r="E40" s="1"/>
      <c r="F40" s="13">
        <f>$C$40</f>
        <v>0.94</v>
      </c>
      <c r="G40" s="1">
        <f>-ROUND(G39*F40,0)</f>
        <v>-15</v>
      </c>
      <c r="H40" s="1"/>
      <c r="I40" s="1">
        <f>D40+G40</f>
        <v>-49</v>
      </c>
    </row>
    <row r="41" spans="1:9" ht="20.100000000000001" customHeight="1" thickBot="1" x14ac:dyDescent="0.3">
      <c r="A41" s="2" t="s">
        <v>119</v>
      </c>
      <c r="D41" s="4">
        <f>SUM(D39:D40)</f>
        <v>2</v>
      </c>
      <c r="E41" s="1"/>
      <c r="F41" s="1"/>
      <c r="G41" s="4">
        <f>SUM(G39:G40)</f>
        <v>1</v>
      </c>
      <c r="H41" s="1"/>
      <c r="I41" s="4">
        <f>SUM(I39:I40)</f>
        <v>3</v>
      </c>
    </row>
    <row r="42" spans="1:9" ht="8.1" customHeight="1" thickTop="1" x14ac:dyDescent="0.25">
      <c r="A42" s="20"/>
      <c r="D42" s="1"/>
      <c r="E42" s="1"/>
      <c r="F42" s="1"/>
      <c r="G42" s="1"/>
      <c r="H42" s="1"/>
      <c r="I42" s="1"/>
    </row>
    <row r="43" spans="1:9" ht="20.100000000000001" customHeight="1" x14ac:dyDescent="0.25">
      <c r="A43" s="7" t="s">
        <v>102</v>
      </c>
      <c r="C43" s="145" t="s">
        <v>15</v>
      </c>
      <c r="D43" s="145"/>
      <c r="E43" s="28"/>
      <c r="F43" s="145" t="s">
        <v>16</v>
      </c>
      <c r="G43" s="145"/>
      <c r="H43" s="28"/>
      <c r="I43" s="36" t="s">
        <v>14</v>
      </c>
    </row>
    <row r="44" spans="1:9" ht="8.1" customHeight="1" x14ac:dyDescent="0.25">
      <c r="A44" s="7"/>
      <c r="D44"/>
      <c r="E44"/>
      <c r="F44"/>
      <c r="G44"/>
      <c r="H44"/>
      <c r="I44"/>
    </row>
    <row r="45" spans="1:9" ht="20.100000000000001" customHeight="1" x14ac:dyDescent="0.25">
      <c r="A45" s="2" t="s">
        <v>130</v>
      </c>
      <c r="D45" s="29">
        <f>$D$29</f>
        <v>350000</v>
      </c>
      <c r="E45"/>
      <c r="F45"/>
      <c r="G45" s="29">
        <f>G29</f>
        <v>600000</v>
      </c>
      <c r="H45"/>
      <c r="I45"/>
    </row>
    <row r="46" spans="1:9" ht="20.100000000000001" customHeight="1" x14ac:dyDescent="0.25">
      <c r="A46" s="2" t="s">
        <v>92</v>
      </c>
      <c r="D46" s="13">
        <f>INPUTS!$D$30</f>
        <v>0.9</v>
      </c>
      <c r="E46"/>
      <c r="F46"/>
      <c r="G46" s="13">
        <f>INPUTS!$D$35</f>
        <v>0.85</v>
      </c>
      <c r="H46"/>
      <c r="I46"/>
    </row>
    <row r="47" spans="1:9" ht="20.100000000000001" customHeight="1" x14ac:dyDescent="0.25">
      <c r="A47" s="2" t="s">
        <v>93</v>
      </c>
      <c r="D47" s="29">
        <f>ROUND(D45*D46,0)</f>
        <v>315000</v>
      </c>
      <c r="E47"/>
      <c r="F47"/>
      <c r="G47" s="29">
        <f>ROUND(G45*G46,0)</f>
        <v>510000</v>
      </c>
      <c r="H47"/>
      <c r="I47"/>
    </row>
    <row r="48" spans="1:9" ht="20.100000000000001" customHeight="1" thickBot="1" x14ac:dyDescent="0.3">
      <c r="A48" s="2" t="s">
        <v>131</v>
      </c>
      <c r="D48" s="31">
        <f>$D$31</f>
        <v>50</v>
      </c>
      <c r="E48"/>
      <c r="F48"/>
      <c r="G48" s="31">
        <f>$G$31</f>
        <v>22</v>
      </c>
      <c r="H48"/>
      <c r="I48"/>
    </row>
    <row r="49" spans="1:9" ht="8.1" customHeight="1" thickTop="1" x14ac:dyDescent="0.25">
      <c r="A49" s="2"/>
      <c r="D49"/>
      <c r="E49"/>
      <c r="F49"/>
      <c r="G49"/>
      <c r="H49"/>
      <c r="I49"/>
    </row>
    <row r="50" spans="1:9" ht="20.100000000000001" customHeight="1" thickBot="1" x14ac:dyDescent="0.3">
      <c r="A50" s="2" t="s">
        <v>94</v>
      </c>
      <c r="C50" s="58">
        <f>INPUTS!$D$38</f>
        <v>0.01</v>
      </c>
      <c r="D50" s="19">
        <f>ROUND($D$47*C50,0)</f>
        <v>3150</v>
      </c>
      <c r="E50" s="16"/>
      <c r="F50" s="58">
        <f>INPUTS!$D$38</f>
        <v>0.01</v>
      </c>
      <c r="G50" s="19">
        <f>ROUND($G$47*F50,0)</f>
        <v>5100</v>
      </c>
      <c r="H50" s="16"/>
      <c r="I50" s="16"/>
    </row>
    <row r="51" spans="1:9" ht="9.9499999999999993" customHeight="1" thickTop="1" x14ac:dyDescent="0.25">
      <c r="A51" s="2"/>
      <c r="B51" s="2"/>
      <c r="C51" s="2"/>
      <c r="D51" s="2"/>
      <c r="E51" s="2"/>
      <c r="F51" s="2"/>
      <c r="G51" s="2"/>
      <c r="H51" s="2"/>
      <c r="I51" s="16"/>
    </row>
    <row r="52" spans="1:9" ht="20.100000000000001" customHeight="1" x14ac:dyDescent="0.25">
      <c r="A52" s="2" t="s">
        <v>98</v>
      </c>
      <c r="C52" s="34">
        <f>$D$31</f>
        <v>50</v>
      </c>
      <c r="D52" s="16">
        <f>ROUND($D$50*C52,0)</f>
        <v>157500</v>
      </c>
      <c r="E52" s="16"/>
      <c r="F52" s="34">
        <f>$G$31</f>
        <v>22</v>
      </c>
      <c r="G52" s="16">
        <f>ROUND($G$50*F52,0)</f>
        <v>112200</v>
      </c>
      <c r="H52" s="16"/>
      <c r="I52" s="16">
        <f>D52+G52</f>
        <v>269700</v>
      </c>
    </row>
    <row r="53" spans="1:9" ht="20.100000000000001" customHeight="1" x14ac:dyDescent="0.25">
      <c r="A53" s="2" t="s">
        <v>13</v>
      </c>
      <c r="C53" s="34">
        <f>D38</f>
        <v>-1</v>
      </c>
      <c r="D53" s="16">
        <f>ROUND($D$50*C53,0)</f>
        <v>-3150</v>
      </c>
      <c r="E53"/>
      <c r="F53" s="34">
        <f>G38</f>
        <v>-1</v>
      </c>
      <c r="G53" s="16">
        <f>ROUND($G$50*F53,0)</f>
        <v>-5100</v>
      </c>
      <c r="H53" s="16"/>
      <c r="I53" s="16">
        <f>D53+G53</f>
        <v>-8250</v>
      </c>
    </row>
    <row r="54" spans="1:9" ht="20.100000000000001" customHeight="1" thickBot="1" x14ac:dyDescent="0.3">
      <c r="A54" s="2" t="s">
        <v>95</v>
      </c>
      <c r="C54" s="35">
        <f>SUM(C52:C53)</f>
        <v>49</v>
      </c>
      <c r="D54" s="18">
        <f>SUM(D52:D53)</f>
        <v>154350</v>
      </c>
      <c r="E54"/>
      <c r="F54" s="35">
        <f>SUM(F52:F53)</f>
        <v>21</v>
      </c>
      <c r="G54" s="18">
        <f>SUM(G52:G53)</f>
        <v>107100</v>
      </c>
      <c r="H54" s="16"/>
      <c r="I54" s="18">
        <f>SUM(I52:I53)</f>
        <v>261450</v>
      </c>
    </row>
    <row r="55" spans="1:9" ht="20.100000000000001" customHeight="1" thickTop="1" thickBot="1" x14ac:dyDescent="0.3">
      <c r="A55" s="2" t="s">
        <v>202</v>
      </c>
      <c r="C55" s="122">
        <f>$D$41</f>
        <v>2</v>
      </c>
      <c r="D55" s="19">
        <f>$D$45*$C$55</f>
        <v>700000</v>
      </c>
      <c r="E55"/>
      <c r="F55" s="122">
        <f>$G$41</f>
        <v>1</v>
      </c>
      <c r="G55" s="19">
        <f>$G$45*$F$55</f>
        <v>600000</v>
      </c>
      <c r="H55" s="16"/>
      <c r="I55" s="19">
        <f>D55+G55</f>
        <v>1300000</v>
      </c>
    </row>
    <row r="56" spans="1:9" ht="20.100000000000001" customHeight="1" thickTop="1" thickBot="1" x14ac:dyDescent="0.3">
      <c r="A56" s="2" t="s">
        <v>96</v>
      </c>
      <c r="C56" s="93">
        <f>$D$39</f>
        <v>36</v>
      </c>
      <c r="D56" s="19">
        <f>C56*D47</f>
        <v>11340000</v>
      </c>
      <c r="E56" s="16"/>
      <c r="F56" s="93">
        <f>$G$39</f>
        <v>16</v>
      </c>
      <c r="G56" s="19">
        <f>F56*G47</f>
        <v>8160000</v>
      </c>
      <c r="H56" s="16"/>
      <c r="I56" s="19">
        <f>D56+G56</f>
        <v>19500000</v>
      </c>
    </row>
    <row r="57" spans="1:9" ht="20.100000000000001" customHeight="1" thickTop="1" thickBot="1" x14ac:dyDescent="0.3">
      <c r="A57" s="2" t="s">
        <v>122</v>
      </c>
      <c r="C57" s="93">
        <f>$D$41</f>
        <v>2</v>
      </c>
      <c r="D57" s="19">
        <f>C57*D47</f>
        <v>630000</v>
      </c>
      <c r="E57" s="16"/>
      <c r="F57" s="93">
        <f>$G$41</f>
        <v>1</v>
      </c>
      <c r="G57" s="19">
        <f>F57*G47</f>
        <v>510000</v>
      </c>
      <c r="H57" s="16"/>
      <c r="I57" s="19">
        <f>D57+G57</f>
        <v>1140000</v>
      </c>
    </row>
    <row r="58" spans="1:9" ht="8.1" customHeight="1" thickTop="1" x14ac:dyDescent="0.25">
      <c r="A58" s="2"/>
      <c r="C58" s="11"/>
      <c r="D58" s="16"/>
      <c r="E58" s="16"/>
      <c r="F58" s="16"/>
      <c r="G58" s="16"/>
      <c r="H58" s="16"/>
      <c r="I58" s="16"/>
    </row>
    <row r="59" spans="1:9" ht="20.100000000000001" customHeight="1" x14ac:dyDescent="0.25">
      <c r="A59" s="7" t="s">
        <v>108</v>
      </c>
      <c r="C59" s="145" t="s">
        <v>15</v>
      </c>
      <c r="D59" s="145"/>
      <c r="E59" s="28"/>
      <c r="F59" s="145" t="s">
        <v>16</v>
      </c>
      <c r="G59" s="145"/>
      <c r="H59" s="16"/>
      <c r="I59" s="16"/>
    </row>
    <row r="60" spans="1:9" ht="8.1" customHeight="1" x14ac:dyDescent="0.25">
      <c r="A60" s="7"/>
      <c r="C60" s="11"/>
      <c r="D60" s="16"/>
      <c r="E60" s="16"/>
      <c r="F60" s="16"/>
      <c r="G60" s="16"/>
      <c r="H60" s="16"/>
      <c r="I60" s="16"/>
    </row>
    <row r="61" spans="1:9" ht="20.100000000000001" customHeight="1" x14ac:dyDescent="0.25">
      <c r="A61" s="2" t="s">
        <v>156</v>
      </c>
      <c r="C61" s="13">
        <f>INPUTS!$D$20</f>
        <v>0.96</v>
      </c>
      <c r="D61" s="16">
        <f>ROUND($D$45*C61,0)</f>
        <v>336000</v>
      </c>
      <c r="E61" s="16"/>
      <c r="F61" s="13">
        <f>INPUTS!$D$20</f>
        <v>0.96</v>
      </c>
      <c r="G61" s="16">
        <f>ROUND($G$45*F61,0)</f>
        <v>576000</v>
      </c>
      <c r="H61" s="16"/>
      <c r="I61" s="16"/>
    </row>
    <row r="62" spans="1:9" ht="20.100000000000001" customHeight="1" x14ac:dyDescent="0.25">
      <c r="A62" s="2" t="s">
        <v>157</v>
      </c>
      <c r="D62" s="16">
        <f>D47</f>
        <v>315000</v>
      </c>
      <c r="E62" s="16"/>
      <c r="F62"/>
      <c r="G62" s="16">
        <f>G47</f>
        <v>510000</v>
      </c>
      <c r="H62" s="16"/>
      <c r="I62" s="16"/>
    </row>
    <row r="63" spans="1:9" ht="20.100000000000001" customHeight="1" x14ac:dyDescent="0.25">
      <c r="A63" s="2" t="s">
        <v>99</v>
      </c>
      <c r="D63" s="17">
        <f>D61-D62</f>
        <v>21000</v>
      </c>
      <c r="E63" s="16"/>
      <c r="F63"/>
      <c r="G63" s="17">
        <f>G61-G62</f>
        <v>66000</v>
      </c>
      <c r="H63" s="16"/>
      <c r="I63" s="16"/>
    </row>
    <row r="64" spans="1:9" ht="20.100000000000001" customHeight="1" x14ac:dyDescent="0.25">
      <c r="A64" s="2" t="s">
        <v>238</v>
      </c>
      <c r="C64" s="71">
        <f>INPUTS!$D$40</f>
        <v>5284</v>
      </c>
      <c r="D64" s="16">
        <f>C64</f>
        <v>5284</v>
      </c>
      <c r="E64" s="16"/>
      <c r="F64" s="71">
        <f>C64</f>
        <v>5284</v>
      </c>
      <c r="G64" s="16">
        <f>F64</f>
        <v>5284</v>
      </c>
      <c r="H64" s="16"/>
      <c r="I64" s="16"/>
    </row>
    <row r="65" spans="1:9" ht="20.100000000000001" customHeight="1" x14ac:dyDescent="0.25">
      <c r="A65" s="2" t="s">
        <v>166</v>
      </c>
      <c r="C65" s="13">
        <f>INPUTS!$D$41</f>
        <v>1.4999999999999999E-2</v>
      </c>
      <c r="D65" s="16">
        <f>ROUND($D$61*C65,0)</f>
        <v>5040</v>
      </c>
      <c r="E65" s="16"/>
      <c r="F65" s="13">
        <f>INPUTS!$D$41</f>
        <v>1.4999999999999999E-2</v>
      </c>
      <c r="G65" s="16">
        <f>ROUND($G$61*F65,0)</f>
        <v>8640</v>
      </c>
      <c r="H65" s="16"/>
      <c r="I65" s="16"/>
    </row>
    <row r="66" spans="1:9" ht="20.100000000000001" customHeight="1" thickBot="1" x14ac:dyDescent="0.3">
      <c r="A66" s="2" t="s">
        <v>107</v>
      </c>
      <c r="D66" s="18">
        <f>D63-D64-D65</f>
        <v>10676</v>
      </c>
      <c r="E66" s="16"/>
      <c r="F66"/>
      <c r="G66" s="18">
        <f>G63-G64-G65</f>
        <v>52076</v>
      </c>
      <c r="H66" s="16"/>
      <c r="I66" s="16"/>
    </row>
    <row r="67" spans="1:9" ht="9.9499999999999993" customHeight="1" thickTop="1" x14ac:dyDescent="0.25">
      <c r="A67" s="2"/>
      <c r="D67" s="16"/>
      <c r="E67" s="16"/>
      <c r="F67" s="16"/>
      <c r="G67" s="16"/>
      <c r="H67" s="16"/>
      <c r="I67" s="16"/>
    </row>
    <row r="68" spans="1:9" ht="20.100000000000001" customHeight="1" thickBot="1" x14ac:dyDescent="0.3">
      <c r="A68" s="2" t="s">
        <v>106</v>
      </c>
      <c r="C68" s="91">
        <f>INPUTS!$D$17</f>
        <v>1</v>
      </c>
      <c r="D68" s="19">
        <f>ROUND(C68*D66,0)</f>
        <v>10676</v>
      </c>
      <c r="E68" s="16"/>
      <c r="F68" s="91">
        <f>C68</f>
        <v>1</v>
      </c>
      <c r="G68" s="19">
        <f>ROUND(F68*G66,0)</f>
        <v>52076</v>
      </c>
      <c r="H68" s="16"/>
      <c r="I68" s="16"/>
    </row>
    <row r="69" spans="1:9" ht="20.100000000000001" customHeight="1" thickTop="1" thickBot="1" x14ac:dyDescent="0.3">
      <c r="A69" s="2" t="s">
        <v>163</v>
      </c>
      <c r="C69" s="34">
        <f>$D$41</f>
        <v>2</v>
      </c>
      <c r="D69" s="19">
        <f>ROUND(D68*C69,0)</f>
        <v>21352</v>
      </c>
      <c r="E69" s="16"/>
      <c r="F69" s="34">
        <f>$G$41</f>
        <v>1</v>
      </c>
      <c r="G69" s="19">
        <f>ROUND(G68*F69,0)</f>
        <v>52076</v>
      </c>
      <c r="H69" s="16"/>
      <c r="I69" s="19">
        <f>D69+G69</f>
        <v>73428</v>
      </c>
    </row>
    <row r="70" spans="1:9" ht="8.1" customHeight="1" thickTop="1" x14ac:dyDescent="0.25">
      <c r="A70" s="20"/>
      <c r="D70" s="1"/>
      <c r="E70" s="1"/>
      <c r="F70" s="1"/>
      <c r="G70" s="1"/>
      <c r="H70" s="1"/>
      <c r="I70" s="1"/>
    </row>
    <row r="71" spans="1:9" ht="9.9499999999999993" customHeight="1" x14ac:dyDescent="0.25">
      <c r="A71" s="8"/>
      <c r="B71" s="9"/>
      <c r="C71" s="9"/>
      <c r="D71" s="10"/>
      <c r="E71" s="10"/>
      <c r="F71" s="10"/>
      <c r="G71" s="10"/>
      <c r="H71" s="10"/>
      <c r="I71" s="10"/>
    </row>
    <row r="72" spans="1:9" ht="20.100000000000001" customHeight="1" x14ac:dyDescent="0.25">
      <c r="A72" s="7" t="s">
        <v>103</v>
      </c>
      <c r="D72" s="1"/>
      <c r="E72" s="1"/>
      <c r="F72" s="1"/>
      <c r="G72" s="1"/>
      <c r="H72" s="1"/>
      <c r="I72" s="1"/>
    </row>
    <row r="73" spans="1:9" ht="20.100000000000001" customHeight="1" x14ac:dyDescent="0.25">
      <c r="A73" s="7" t="s">
        <v>104</v>
      </c>
      <c r="C73" s="146" t="s">
        <v>17</v>
      </c>
      <c r="D73" s="146"/>
      <c r="E73" s="28"/>
      <c r="F73" s="146" t="s">
        <v>18</v>
      </c>
      <c r="G73" s="146"/>
      <c r="H73" s="28"/>
      <c r="I73" s="92" t="s">
        <v>19</v>
      </c>
    </row>
    <row r="74" spans="1:9" ht="8.1" customHeight="1" x14ac:dyDescent="0.25">
      <c r="A74" s="7"/>
      <c r="B74" s="7"/>
      <c r="C74" s="7"/>
      <c r="D74" s="7"/>
      <c r="E74" s="7"/>
      <c r="F74" s="7"/>
      <c r="G74" s="7"/>
      <c r="H74" s="7"/>
      <c r="I74" s="7"/>
    </row>
    <row r="75" spans="1:9" ht="20.100000000000001" customHeight="1" x14ac:dyDescent="0.25">
      <c r="A75" s="2" t="s">
        <v>132</v>
      </c>
      <c r="C75" s="30"/>
      <c r="D75" s="29">
        <f>INPUTS!$D$52</f>
        <v>350000</v>
      </c>
      <c r="E75" s="1"/>
      <c r="F75" s="1"/>
      <c r="G75" s="29">
        <f>INPUTS!$D$57</f>
        <v>520000</v>
      </c>
      <c r="H75" s="1"/>
      <c r="I75" s="1"/>
    </row>
    <row r="76" spans="1:9" ht="9.9499999999999993" customHeight="1" x14ac:dyDescent="0.25">
      <c r="A76" s="2"/>
      <c r="D76" s="1"/>
      <c r="E76" s="1"/>
      <c r="F76" s="1"/>
      <c r="G76" s="1"/>
      <c r="H76" s="1"/>
      <c r="I76" s="1"/>
    </row>
    <row r="77" spans="1:9" ht="20.100000000000001" customHeight="1" x14ac:dyDescent="0.25">
      <c r="A77" s="2"/>
      <c r="D77" s="1" t="s">
        <v>9</v>
      </c>
      <c r="E77" s="1"/>
      <c r="F77" s="1"/>
      <c r="G77" s="1" t="s">
        <v>10</v>
      </c>
      <c r="H77" s="1"/>
      <c r="I77" s="1" t="s">
        <v>11</v>
      </c>
    </row>
    <row r="78" spans="1:9" ht="20.100000000000001" customHeight="1" thickBot="1" x14ac:dyDescent="0.3">
      <c r="A78" s="2" t="s">
        <v>100</v>
      </c>
      <c r="B78" s="31">
        <f>G7</f>
        <v>48</v>
      </c>
      <c r="C78" s="13">
        <f>INPUTS!$D$46</f>
        <v>0.75</v>
      </c>
      <c r="D78" s="1">
        <f>ROUND($B$78*$C$78,0)</f>
        <v>36</v>
      </c>
      <c r="E78" s="1"/>
      <c r="F78" s="13">
        <f>1-C78</f>
        <v>0.25</v>
      </c>
      <c r="G78" s="1">
        <f>ROUND(B78-D78,0)</f>
        <v>12</v>
      </c>
      <c r="H78" s="1"/>
      <c r="I78" s="1">
        <f>D78+G78</f>
        <v>48</v>
      </c>
    </row>
    <row r="79" spans="1:9" ht="20.100000000000001" customHeight="1" thickTop="1" x14ac:dyDescent="0.25">
      <c r="A79" s="2" t="s">
        <v>177</v>
      </c>
      <c r="C79" s="13">
        <f>INPUTS!$D$47</f>
        <v>0.2</v>
      </c>
      <c r="D79" s="1">
        <f>-ROUND(D78*C79,0)</f>
        <v>-7</v>
      </c>
      <c r="E79" s="1"/>
      <c r="F79" s="13">
        <f>$C$79</f>
        <v>0.2</v>
      </c>
      <c r="G79" s="1">
        <f>-ROUND(G78*F79,0)</f>
        <v>-2</v>
      </c>
      <c r="H79" s="1"/>
      <c r="I79" s="1">
        <f>D79+G79</f>
        <v>-9</v>
      </c>
    </row>
    <row r="80" spans="1:9" ht="20.100000000000001" customHeight="1" x14ac:dyDescent="0.25">
      <c r="A80" s="2" t="s">
        <v>133</v>
      </c>
      <c r="B80" s="12"/>
      <c r="D80" s="3">
        <f>SUM(D78:D79)</f>
        <v>29</v>
      </c>
      <c r="E80" s="1"/>
      <c r="F80" s="3"/>
      <c r="G80" s="3">
        <f>SUM(G78:G79)</f>
        <v>10</v>
      </c>
      <c r="H80" s="1"/>
      <c r="I80" s="3">
        <f>SUM(I78:I79)</f>
        <v>39</v>
      </c>
    </row>
    <row r="81" spans="1:9" ht="20.100000000000001" customHeight="1" x14ac:dyDescent="0.25">
      <c r="A81" s="2" t="s">
        <v>178</v>
      </c>
      <c r="B81" s="12"/>
      <c r="C81" s="13">
        <f>INPUTS!$D$48</f>
        <v>0.05</v>
      </c>
      <c r="D81" s="1">
        <f>-ROUND(D80*C81,0)</f>
        <v>-1</v>
      </c>
      <c r="E81" s="1"/>
      <c r="F81" s="13">
        <f>$C$34</f>
        <v>0.05</v>
      </c>
      <c r="G81" s="1">
        <f>-ROUND(G80*F81,0)</f>
        <v>-1</v>
      </c>
      <c r="H81" s="1"/>
      <c r="I81" s="1">
        <f>D81+G81</f>
        <v>-2</v>
      </c>
    </row>
    <row r="82" spans="1:9" ht="20.100000000000001" customHeight="1" x14ac:dyDescent="0.25">
      <c r="A82" s="2" t="s">
        <v>134</v>
      </c>
      <c r="B82" s="12"/>
      <c r="D82" s="3">
        <f>SUM(D80:D81)</f>
        <v>28</v>
      </c>
      <c r="E82" s="1"/>
      <c r="F82"/>
      <c r="G82" s="3">
        <f>SUM(G80:G81)</f>
        <v>9</v>
      </c>
      <c r="H82" s="1"/>
      <c r="I82" s="3">
        <f>SUM(I80:I81)</f>
        <v>37</v>
      </c>
    </row>
    <row r="83" spans="1:9" ht="20.100000000000001" customHeight="1" x14ac:dyDescent="0.25">
      <c r="A83" s="2" t="s">
        <v>129</v>
      </c>
      <c r="B83" s="12"/>
      <c r="C83" s="13">
        <f>INPUTS!$D$49</f>
        <v>0.02</v>
      </c>
      <c r="D83" s="1">
        <f>-ROUND(D82*C83,0)</f>
        <v>-1</v>
      </c>
      <c r="E83" s="1"/>
      <c r="F83" s="13">
        <f>$C$36</f>
        <v>0.02</v>
      </c>
      <c r="G83" s="1">
        <f>-ROUND(G82*F83,0)</f>
        <v>0</v>
      </c>
      <c r="H83" s="1"/>
      <c r="I83" s="1">
        <f>D83+G83</f>
        <v>-1</v>
      </c>
    </row>
    <row r="84" spans="1:9" ht="20.100000000000001" customHeight="1" x14ac:dyDescent="0.25">
      <c r="A84" s="2" t="s">
        <v>127</v>
      </c>
      <c r="B84" s="12"/>
      <c r="D84" s="3">
        <f>SUM(D82:D83)</f>
        <v>27</v>
      </c>
      <c r="E84" s="1"/>
      <c r="F84"/>
      <c r="G84" s="3">
        <f>SUM(G82:G83)</f>
        <v>9</v>
      </c>
      <c r="H84" s="1"/>
      <c r="I84" s="3">
        <f>SUM(I82:I83)</f>
        <v>36</v>
      </c>
    </row>
    <row r="85" spans="1:9" ht="20.100000000000001" customHeight="1" x14ac:dyDescent="0.25">
      <c r="A85" s="2" t="s">
        <v>164</v>
      </c>
      <c r="C85" s="13">
        <f>INPUTS!D50</f>
        <v>0</v>
      </c>
      <c r="D85" s="1">
        <f>-ROUND(D80*C85,0)</f>
        <v>0</v>
      </c>
      <c r="E85" s="1"/>
      <c r="F85" s="13">
        <f>$C$85</f>
        <v>0</v>
      </c>
      <c r="G85" s="1">
        <f>-ROUND(G80*F85,0)</f>
        <v>0</v>
      </c>
      <c r="H85" s="1"/>
      <c r="I85" s="1">
        <f>D85+G85</f>
        <v>0</v>
      </c>
    </row>
    <row r="86" spans="1:9" ht="20.100000000000001" customHeight="1" x14ac:dyDescent="0.25">
      <c r="A86" s="2" t="s">
        <v>201</v>
      </c>
      <c r="D86" s="3">
        <f>SUM(D84:D85)</f>
        <v>27</v>
      </c>
      <c r="E86" s="1"/>
      <c r="F86" s="3"/>
      <c r="G86" s="3">
        <f>SUM(G84:G85)</f>
        <v>9</v>
      </c>
      <c r="H86" s="1"/>
      <c r="I86" s="3">
        <f>SUM(I84:I85)</f>
        <v>36</v>
      </c>
    </row>
    <row r="87" spans="1:9" ht="20.100000000000001" customHeight="1" x14ac:dyDescent="0.25">
      <c r="A87" s="2" t="s">
        <v>165</v>
      </c>
      <c r="C87" s="13">
        <f>INPUTS!$D$62</f>
        <v>0</v>
      </c>
      <c r="D87" s="1">
        <f>-ROUND(D86*C87,0)</f>
        <v>0</v>
      </c>
      <c r="E87" s="1"/>
      <c r="F87" s="13">
        <f>$C$87</f>
        <v>0</v>
      </c>
      <c r="G87" s="1">
        <f>-ROUND(G86*F87,0)</f>
        <v>0</v>
      </c>
      <c r="H87" s="1"/>
      <c r="I87" s="1">
        <f>D87+G87</f>
        <v>0</v>
      </c>
    </row>
    <row r="88" spans="1:9" ht="20.100000000000001" customHeight="1" thickBot="1" x14ac:dyDescent="0.3">
      <c r="A88" s="2" t="s">
        <v>119</v>
      </c>
      <c r="D88" s="4">
        <f>SUM(D86:D87)</f>
        <v>27</v>
      </c>
      <c r="E88" s="1"/>
      <c r="F88" s="1"/>
      <c r="G88" s="4">
        <f>SUM(G86:G87)</f>
        <v>9</v>
      </c>
      <c r="H88" s="1"/>
      <c r="I88" s="4">
        <f>SUM(I86:I87)</f>
        <v>36</v>
      </c>
    </row>
    <row r="89" spans="1:9" ht="8.1" customHeight="1" thickTop="1" x14ac:dyDescent="0.25">
      <c r="A89" s="20"/>
      <c r="D89" s="1"/>
      <c r="E89" s="1"/>
      <c r="F89" s="1"/>
      <c r="G89" s="1"/>
      <c r="H89" s="1"/>
      <c r="I89" s="1"/>
    </row>
    <row r="90" spans="1:9" ht="20.100000000000001" customHeight="1" x14ac:dyDescent="0.25">
      <c r="A90" s="7" t="s">
        <v>105</v>
      </c>
      <c r="C90" s="146" t="s">
        <v>17</v>
      </c>
      <c r="D90" s="146"/>
      <c r="E90" s="28"/>
      <c r="F90" s="146" t="s">
        <v>18</v>
      </c>
      <c r="G90" s="146"/>
      <c r="H90" s="28"/>
      <c r="I90" s="92" t="s">
        <v>19</v>
      </c>
    </row>
    <row r="91" spans="1:9" ht="8.1" customHeight="1" x14ac:dyDescent="0.25">
      <c r="A91" s="7"/>
      <c r="D91"/>
      <c r="E91"/>
      <c r="F91"/>
      <c r="G91"/>
      <c r="H91"/>
      <c r="I91"/>
    </row>
    <row r="92" spans="1:9" ht="20.100000000000001" customHeight="1" x14ac:dyDescent="0.25">
      <c r="A92" s="2" t="s">
        <v>158</v>
      </c>
      <c r="D92" s="29">
        <f>INPUTS!$D$52</f>
        <v>350000</v>
      </c>
      <c r="E92"/>
      <c r="F92"/>
      <c r="G92" s="29">
        <f>INPUTS!$D$57</f>
        <v>520000</v>
      </c>
      <c r="H92"/>
      <c r="I92"/>
    </row>
    <row r="93" spans="1:9" ht="20.100000000000001" customHeight="1" x14ac:dyDescent="0.25">
      <c r="A93" s="2" t="s">
        <v>125</v>
      </c>
      <c r="D93" s="13">
        <f>INPUTS!$D$54</f>
        <v>0.85</v>
      </c>
      <c r="E93"/>
      <c r="F93"/>
      <c r="G93" s="13">
        <f>INPUTS!$D$59</f>
        <v>0.8</v>
      </c>
      <c r="H93"/>
      <c r="I93"/>
    </row>
    <row r="94" spans="1:9" ht="20.100000000000001" customHeight="1" x14ac:dyDescent="0.25">
      <c r="A94" s="2" t="s">
        <v>126</v>
      </c>
      <c r="D94" s="29">
        <f>ROUND(D92*D93,0)</f>
        <v>297500</v>
      </c>
      <c r="E94"/>
      <c r="F94"/>
      <c r="G94" s="29">
        <f>ROUND(G92*G93,0)</f>
        <v>416000</v>
      </c>
      <c r="H94"/>
      <c r="I94"/>
    </row>
    <row r="95" spans="1:9" ht="20.100000000000001" customHeight="1" thickBot="1" x14ac:dyDescent="0.3">
      <c r="A95" s="2" t="s">
        <v>97</v>
      </c>
      <c r="D95" s="31">
        <f>$D$86</f>
        <v>27</v>
      </c>
      <c r="E95"/>
      <c r="F95"/>
      <c r="G95" s="31">
        <f>G86</f>
        <v>9</v>
      </c>
      <c r="H95"/>
      <c r="I95"/>
    </row>
    <row r="96" spans="1:9" ht="8.1" customHeight="1" thickTop="1" x14ac:dyDescent="0.25">
      <c r="A96" s="2"/>
      <c r="D96"/>
      <c r="E96"/>
      <c r="F96"/>
      <c r="G96"/>
      <c r="H96"/>
      <c r="I96"/>
    </row>
    <row r="97" spans="1:9" ht="20.100000000000001" customHeight="1" thickBot="1" x14ac:dyDescent="0.3">
      <c r="A97" s="2" t="s">
        <v>202</v>
      </c>
      <c r="C97" s="122">
        <f>$D$86</f>
        <v>27</v>
      </c>
      <c r="D97" s="19">
        <f>$C$97*$D$92</f>
        <v>9450000</v>
      </c>
      <c r="E97"/>
      <c r="F97" s="122">
        <f>$G$86</f>
        <v>9</v>
      </c>
      <c r="G97" s="19">
        <f>$F$98*$G$92</f>
        <v>4680000</v>
      </c>
      <c r="H97" s="16"/>
      <c r="I97" s="19">
        <f>D97+G97</f>
        <v>14130000</v>
      </c>
    </row>
    <row r="98" spans="1:9" ht="20.100000000000001" customHeight="1" thickTop="1" thickBot="1" x14ac:dyDescent="0.3">
      <c r="A98" s="2" t="s">
        <v>123</v>
      </c>
      <c r="C98" s="93">
        <f>$D$86</f>
        <v>27</v>
      </c>
      <c r="D98" s="19">
        <f>$C$98*$D$94</f>
        <v>8032500</v>
      </c>
      <c r="E98" s="16"/>
      <c r="F98" s="93">
        <f>$G$86</f>
        <v>9</v>
      </c>
      <c r="G98" s="19">
        <f>F98*G94</f>
        <v>3744000</v>
      </c>
      <c r="H98" s="16"/>
      <c r="I98" s="19">
        <f>D98+G98</f>
        <v>11776500</v>
      </c>
    </row>
    <row r="99" spans="1:9" ht="20.100000000000001" customHeight="1" thickTop="1" thickBot="1" x14ac:dyDescent="0.3">
      <c r="A99" s="2" t="s">
        <v>124</v>
      </c>
      <c r="C99" s="93">
        <f>$D$88</f>
        <v>27</v>
      </c>
      <c r="D99" s="19">
        <f>C99*D94</f>
        <v>8032500</v>
      </c>
      <c r="E99" s="16"/>
      <c r="F99" s="93">
        <f>$G$88</f>
        <v>9</v>
      </c>
      <c r="G99" s="19">
        <f>F99*G94</f>
        <v>3744000</v>
      </c>
      <c r="H99" s="16"/>
      <c r="I99" s="19">
        <f>D99+G99</f>
        <v>11776500</v>
      </c>
    </row>
    <row r="100" spans="1:9" ht="8.1" customHeight="1" thickTop="1" x14ac:dyDescent="0.25">
      <c r="A100" s="2"/>
      <c r="C100" s="11"/>
      <c r="D100" s="16"/>
      <c r="E100" s="16"/>
      <c r="F100" s="16"/>
      <c r="G100" s="16"/>
      <c r="H100" s="16"/>
      <c r="I100" s="16"/>
    </row>
    <row r="101" spans="1:9" ht="20.100000000000001" customHeight="1" x14ac:dyDescent="0.25">
      <c r="A101" s="7" t="s">
        <v>105</v>
      </c>
      <c r="C101" s="11"/>
      <c r="D101" s="16"/>
      <c r="E101" s="16"/>
      <c r="F101" s="16"/>
      <c r="G101" s="16"/>
      <c r="H101" s="16"/>
      <c r="I101" s="16"/>
    </row>
    <row r="102" spans="1:9" ht="20.100000000000001" customHeight="1" x14ac:dyDescent="0.25">
      <c r="A102" s="2" t="s">
        <v>159</v>
      </c>
      <c r="C102" s="13">
        <f>INPUTS!$D$44</f>
        <v>0.96</v>
      </c>
      <c r="D102" s="16">
        <f>ROUND($D$45*C102,0)</f>
        <v>336000</v>
      </c>
      <c r="E102" s="16"/>
      <c r="F102" s="13">
        <f>$C$102</f>
        <v>0.96</v>
      </c>
      <c r="G102" s="16">
        <f>ROUND($G$45*F102,0)</f>
        <v>576000</v>
      </c>
      <c r="H102" s="16"/>
      <c r="I102" s="16"/>
    </row>
    <row r="103" spans="1:9" ht="20.100000000000001" customHeight="1" x14ac:dyDescent="0.25">
      <c r="A103" s="2" t="s">
        <v>160</v>
      </c>
      <c r="D103" s="16">
        <f>D94</f>
        <v>297500</v>
      </c>
      <c r="E103" s="16"/>
      <c r="F103"/>
      <c r="G103" s="16">
        <f>G94</f>
        <v>416000</v>
      </c>
      <c r="H103" s="16"/>
      <c r="I103" s="16"/>
    </row>
    <row r="104" spans="1:9" ht="20.100000000000001" customHeight="1" x14ac:dyDescent="0.25">
      <c r="A104" s="2" t="s">
        <v>3</v>
      </c>
      <c r="D104" s="17">
        <f>D102-D103</f>
        <v>38500</v>
      </c>
      <c r="E104" s="16"/>
      <c r="F104"/>
      <c r="G104" s="17">
        <f>G102-G103</f>
        <v>160000</v>
      </c>
      <c r="H104" s="16"/>
      <c r="I104" s="16"/>
    </row>
    <row r="105" spans="1:9" ht="20.100000000000001" customHeight="1" x14ac:dyDescent="0.25">
      <c r="A105" s="2" t="s">
        <v>238</v>
      </c>
      <c r="C105" s="71">
        <f>INPUTS!$D$63</f>
        <v>5284</v>
      </c>
      <c r="D105" s="16">
        <f>C105</f>
        <v>5284</v>
      </c>
      <c r="E105" s="16"/>
      <c r="F105" s="71">
        <f>C105</f>
        <v>5284</v>
      </c>
      <c r="G105" s="16">
        <f>F105</f>
        <v>5284</v>
      </c>
      <c r="H105" s="16"/>
      <c r="I105" s="16"/>
    </row>
    <row r="106" spans="1:9" ht="20.100000000000001" customHeight="1" x14ac:dyDescent="0.25">
      <c r="A106" s="2" t="s">
        <v>166</v>
      </c>
      <c r="C106" s="13">
        <f>INPUTS!$D$64</f>
        <v>1.4999999999999999E-2</v>
      </c>
      <c r="D106" s="16">
        <f>ROUND($D$102*C106,0)</f>
        <v>5040</v>
      </c>
      <c r="E106" s="16"/>
      <c r="F106" s="13">
        <f>$C$106</f>
        <v>1.4999999999999999E-2</v>
      </c>
      <c r="G106" s="16">
        <f>ROUND($G$102*F106,0)</f>
        <v>8640</v>
      </c>
      <c r="H106" s="16"/>
      <c r="I106" s="16"/>
    </row>
    <row r="107" spans="1:9" ht="20.100000000000001" customHeight="1" thickBot="1" x14ac:dyDescent="0.3">
      <c r="A107" s="2" t="s">
        <v>161</v>
      </c>
      <c r="D107" s="18">
        <f>D104-D105-D106</f>
        <v>28176</v>
      </c>
      <c r="E107" s="16"/>
      <c r="F107"/>
      <c r="G107" s="18">
        <f>G104-G105-G106</f>
        <v>146076</v>
      </c>
      <c r="H107" s="16"/>
      <c r="I107" s="16"/>
    </row>
    <row r="108" spans="1:9" ht="9.9499999999999993" customHeight="1" thickTop="1" x14ac:dyDescent="0.25">
      <c r="A108" s="2"/>
      <c r="D108" s="16"/>
      <c r="E108" s="16"/>
      <c r="F108" s="16"/>
      <c r="G108" s="16"/>
      <c r="H108" s="16"/>
      <c r="I108" s="16"/>
    </row>
    <row r="109" spans="1:9" ht="20.100000000000001" customHeight="1" thickBot="1" x14ac:dyDescent="0.3">
      <c r="A109" s="2" t="s">
        <v>4</v>
      </c>
      <c r="C109" s="91">
        <f>INPUTS!$D$17</f>
        <v>1</v>
      </c>
      <c r="D109" s="19">
        <f>ROUND(C109*D107,0)</f>
        <v>28176</v>
      </c>
      <c r="E109" s="16"/>
      <c r="F109" s="91">
        <f>$C$109</f>
        <v>1</v>
      </c>
      <c r="G109" s="19">
        <f>ROUND(F109*G107,0)</f>
        <v>146076</v>
      </c>
      <c r="H109" s="16"/>
      <c r="I109" s="16"/>
    </row>
    <row r="110" spans="1:9" ht="20.100000000000001" customHeight="1" thickTop="1" thickBot="1" x14ac:dyDescent="0.3">
      <c r="A110" s="2" t="s">
        <v>162</v>
      </c>
      <c r="C110" s="34">
        <f>$D$88</f>
        <v>27</v>
      </c>
      <c r="D110" s="19">
        <f>ROUND(D109*C110,0)</f>
        <v>760752</v>
      </c>
      <c r="E110" s="16"/>
      <c r="F110" s="34">
        <f>$G$88</f>
        <v>9</v>
      </c>
      <c r="G110" s="19">
        <f>ROUND(G109*F110,0)</f>
        <v>1314684</v>
      </c>
      <c r="H110" s="16"/>
      <c r="I110" s="19">
        <f>D110+G110</f>
        <v>2075436</v>
      </c>
    </row>
    <row r="111" spans="1:9" ht="20.100000000000001" customHeight="1" thickTop="1" x14ac:dyDescent="0.25">
      <c r="A111" s="7"/>
      <c r="D111" s="1"/>
      <c r="E111" s="1"/>
      <c r="F111" s="1"/>
      <c r="G111" s="1"/>
      <c r="H111" s="1"/>
      <c r="I111" s="1"/>
    </row>
    <row r="112" spans="1:9" ht="8.1" customHeight="1" x14ac:dyDescent="0.25">
      <c r="A112" s="2"/>
      <c r="B112" s="38"/>
      <c r="C112" s="21"/>
      <c r="D112" s="16"/>
      <c r="E112" s="16"/>
      <c r="F112" s="16"/>
      <c r="G112" s="16"/>
      <c r="H112" s="16"/>
      <c r="I112" s="16"/>
    </row>
    <row r="113" spans="1:9" ht="9.9499999999999993" customHeight="1" x14ac:dyDescent="0.25">
      <c r="A113" s="8"/>
      <c r="B113" s="9"/>
      <c r="C113" s="9"/>
      <c r="D113" s="10"/>
      <c r="E113" s="10"/>
      <c r="F113" s="10"/>
      <c r="G113" s="10"/>
      <c r="H113" s="10"/>
      <c r="I113" s="10"/>
    </row>
    <row r="114" spans="1:9" ht="20.100000000000001" customHeight="1" x14ac:dyDescent="0.25">
      <c r="A114" s="7" t="s">
        <v>101</v>
      </c>
      <c r="B114" s="38"/>
      <c r="C114" s="21"/>
      <c r="D114" s="92" t="s">
        <v>184</v>
      </c>
      <c r="E114" s="16"/>
      <c r="F114" s="16"/>
      <c r="G114" s="92" t="s">
        <v>16</v>
      </c>
      <c r="H114" s="16"/>
      <c r="I114" s="16"/>
    </row>
    <row r="115" spans="1:9" ht="20.100000000000001" customHeight="1" x14ac:dyDescent="0.25">
      <c r="A115" s="2" t="s">
        <v>30</v>
      </c>
      <c r="B115" s="38"/>
      <c r="C115" s="21"/>
      <c r="D115" s="16">
        <f>D50</f>
        <v>3150</v>
      </c>
      <c r="E115" s="16"/>
      <c r="F115" s="16"/>
      <c r="G115" s="16">
        <f>G50</f>
        <v>5100</v>
      </c>
      <c r="H115" s="16"/>
      <c r="I115" s="16"/>
    </row>
    <row r="116" spans="1:9" ht="20.100000000000001" customHeight="1" x14ac:dyDescent="0.25">
      <c r="A116" s="56" t="s">
        <v>2</v>
      </c>
      <c r="B116" s="38"/>
      <c r="C116" s="21"/>
      <c r="D116" s="16">
        <f>D68</f>
        <v>10676</v>
      </c>
      <c r="E116" s="16"/>
      <c r="F116" s="16"/>
      <c r="G116" s="16">
        <f>G68</f>
        <v>52076</v>
      </c>
      <c r="H116" s="16"/>
      <c r="I116" s="16"/>
    </row>
    <row r="117" spans="1:9" ht="20.100000000000001" customHeight="1" thickBot="1" x14ac:dyDescent="0.3">
      <c r="A117" s="2"/>
      <c r="B117" s="38"/>
      <c r="C117" s="21"/>
      <c r="D117" s="18">
        <f>SUM(D115:D116)</f>
        <v>13826</v>
      </c>
      <c r="E117" s="16"/>
      <c r="F117" s="16"/>
      <c r="G117" s="18">
        <f>SUM(G115:G116)</f>
        <v>57176</v>
      </c>
      <c r="H117" s="16"/>
      <c r="I117" s="16"/>
    </row>
    <row r="118" spans="1:9" ht="8.1" customHeight="1" thickTop="1" x14ac:dyDescent="0.25">
      <c r="A118" s="2"/>
      <c r="B118" s="38"/>
      <c r="C118" s="21"/>
      <c r="D118" s="16"/>
      <c r="E118" s="16"/>
      <c r="F118" s="16"/>
      <c r="G118" s="16"/>
      <c r="H118" s="16"/>
      <c r="I118" s="16"/>
    </row>
    <row r="119" spans="1:9" ht="20.100000000000001" customHeight="1" thickBot="1" x14ac:dyDescent="0.3">
      <c r="A119" s="2" t="s">
        <v>1</v>
      </c>
      <c r="B119" s="38"/>
      <c r="C119" s="91">
        <f>INPUTS!D30</f>
        <v>0.9</v>
      </c>
      <c r="D119" s="19">
        <f>D47</f>
        <v>315000</v>
      </c>
      <c r="E119" s="16"/>
      <c r="F119" s="91">
        <f>INPUTS!$D$35</f>
        <v>0.85</v>
      </c>
      <c r="G119" s="19">
        <f>G47</f>
        <v>510000</v>
      </c>
      <c r="H119" s="16"/>
      <c r="I119" s="16"/>
    </row>
    <row r="120" spans="1:9" ht="8.1" customHeight="1" thickTop="1" x14ac:dyDescent="0.25">
      <c r="A120" s="2"/>
      <c r="B120" s="38"/>
      <c r="C120" s="21"/>
      <c r="D120" s="16"/>
      <c r="E120" s="16"/>
      <c r="F120" s="16"/>
      <c r="G120" s="16"/>
      <c r="H120" s="16"/>
      <c r="I120" s="16"/>
    </row>
    <row r="121" spans="1:9" ht="20.100000000000001" hidden="1" customHeight="1" thickBot="1" x14ac:dyDescent="0.3">
      <c r="A121" s="2" t="s">
        <v>31</v>
      </c>
      <c r="B121" s="38"/>
      <c r="C121" s="21"/>
      <c r="D121" s="69">
        <f>ROUND(D117/D119,4)</f>
        <v>4.3900000000000002E-2</v>
      </c>
      <c r="E121" s="16"/>
      <c r="F121" s="16"/>
      <c r="G121" s="69">
        <f>ROUND(G117/G119,4)</f>
        <v>0.11210000000000001</v>
      </c>
      <c r="H121" s="16"/>
      <c r="I121" s="16"/>
    </row>
    <row r="122" spans="1:9" ht="20.100000000000001" customHeight="1" thickBot="1" x14ac:dyDescent="0.3">
      <c r="A122" s="2" t="s">
        <v>32</v>
      </c>
      <c r="B122" s="38"/>
      <c r="C122" s="21"/>
      <c r="D122" s="69">
        <f>ROUND(D121*52/20,4)</f>
        <v>0.11409999999999999</v>
      </c>
      <c r="E122" s="16"/>
      <c r="F122" s="16"/>
      <c r="G122" s="69">
        <f>ROUND(G121*52/20,4)</f>
        <v>0.29149999999999998</v>
      </c>
      <c r="H122" s="16"/>
      <c r="I122" s="16"/>
    </row>
    <row r="123" spans="1:9" ht="20.100000000000001" customHeight="1" thickTop="1" x14ac:dyDescent="0.25">
      <c r="A123" s="2"/>
      <c r="B123" s="38"/>
      <c r="C123" s="21"/>
      <c r="D123" s="16"/>
      <c r="E123" s="16"/>
      <c r="F123" s="16"/>
      <c r="G123" s="16"/>
      <c r="H123" s="16"/>
      <c r="I123" s="16"/>
    </row>
    <row r="124" spans="1:9" ht="9.9499999999999993" customHeight="1" x14ac:dyDescent="0.25">
      <c r="A124" s="8"/>
      <c r="B124" s="9"/>
      <c r="C124" s="9"/>
      <c r="D124" s="10"/>
      <c r="E124" s="10"/>
      <c r="F124" s="10"/>
      <c r="G124" s="10"/>
      <c r="H124" s="10"/>
      <c r="I124" s="10"/>
    </row>
    <row r="125" spans="1:9" ht="20.100000000000001" customHeight="1" x14ac:dyDescent="0.25">
      <c r="A125" s="2" t="s">
        <v>77</v>
      </c>
      <c r="B125" s="38"/>
      <c r="C125" s="21"/>
      <c r="D125" s="92" t="s">
        <v>205</v>
      </c>
      <c r="E125" s="16"/>
      <c r="F125" s="16"/>
      <c r="G125" s="92" t="s">
        <v>204</v>
      </c>
      <c r="H125" s="16"/>
      <c r="I125" s="16"/>
    </row>
    <row r="126" spans="1:9" ht="20.100000000000001" customHeight="1" x14ac:dyDescent="0.25">
      <c r="A126" s="2" t="s">
        <v>78</v>
      </c>
      <c r="B126" s="38"/>
      <c r="C126" s="34">
        <f>C57</f>
        <v>2</v>
      </c>
      <c r="D126" s="16">
        <f>D57</f>
        <v>630000</v>
      </c>
      <c r="E126" s="16"/>
      <c r="F126" s="34">
        <f>$C$55</f>
        <v>2</v>
      </c>
      <c r="G126" s="16">
        <f>$C$55*$D$45</f>
        <v>700000</v>
      </c>
      <c r="H126" s="16"/>
      <c r="I126" s="16"/>
    </row>
    <row r="127" spans="1:9" ht="20.100000000000001" customHeight="1" x14ac:dyDescent="0.25">
      <c r="A127" s="2" t="s">
        <v>79</v>
      </c>
      <c r="B127" s="38"/>
      <c r="C127" s="34">
        <f>F57</f>
        <v>1</v>
      </c>
      <c r="D127" s="16">
        <f>G57</f>
        <v>510000</v>
      </c>
      <c r="E127" s="16"/>
      <c r="F127" s="34">
        <f>$F$55</f>
        <v>1</v>
      </c>
      <c r="G127" s="16">
        <f>$F$55*$G$45</f>
        <v>600000</v>
      </c>
      <c r="H127" s="16"/>
      <c r="I127" s="16"/>
    </row>
    <row r="128" spans="1:9" ht="20.100000000000001" customHeight="1" x14ac:dyDescent="0.25">
      <c r="A128" s="2" t="s">
        <v>80</v>
      </c>
      <c r="B128" s="38"/>
      <c r="C128" s="34">
        <f>C99</f>
        <v>27</v>
      </c>
      <c r="D128" s="16">
        <f>D99</f>
        <v>8032500</v>
      </c>
      <c r="E128" s="16"/>
      <c r="F128" s="34">
        <f>$C$97</f>
        <v>27</v>
      </c>
      <c r="G128" s="16">
        <f>$C$97*$D$92</f>
        <v>9450000</v>
      </c>
      <c r="H128" s="16"/>
      <c r="I128" s="16"/>
    </row>
    <row r="129" spans="1:9" ht="20.100000000000001" customHeight="1" x14ac:dyDescent="0.25">
      <c r="A129" s="2" t="s">
        <v>81</v>
      </c>
      <c r="B129" s="38"/>
      <c r="C129" s="34">
        <f>F99</f>
        <v>9</v>
      </c>
      <c r="D129" s="16">
        <f>G99</f>
        <v>3744000</v>
      </c>
      <c r="E129" s="16"/>
      <c r="F129" s="34">
        <f>$F$97</f>
        <v>9</v>
      </c>
      <c r="G129" s="16">
        <f>$F$97*$G$92</f>
        <v>4680000</v>
      </c>
      <c r="H129" s="16"/>
      <c r="I129" s="16"/>
    </row>
    <row r="130" spans="1:9" ht="20.100000000000001" customHeight="1" thickBot="1" x14ac:dyDescent="0.3">
      <c r="A130" s="2" t="s">
        <v>11</v>
      </c>
      <c r="B130" s="38"/>
      <c r="C130" s="35">
        <f>SUM(C126:C129)</f>
        <v>39</v>
      </c>
      <c r="D130" s="18">
        <f>SUM(D126:D129)</f>
        <v>12916500</v>
      </c>
      <c r="E130" s="16"/>
      <c r="F130" s="35">
        <f>SUM(F126:F129)</f>
        <v>39</v>
      </c>
      <c r="G130" s="18">
        <f>SUM(G126:G129)</f>
        <v>15430000</v>
      </c>
      <c r="H130" s="16"/>
      <c r="I130" s="16"/>
    </row>
    <row r="131" spans="1:9" ht="20.100000000000001" customHeight="1" thickTop="1" thickBot="1" x14ac:dyDescent="0.3">
      <c r="A131" s="2" t="s">
        <v>82</v>
      </c>
      <c r="B131" s="38"/>
      <c r="C131" s="21"/>
      <c r="D131" s="110">
        <f>ROUND(D130/C130,0)</f>
        <v>331192</v>
      </c>
      <c r="E131" s="16"/>
      <c r="F131" s="16"/>
      <c r="G131" s="110">
        <f>ROUND(G130/F130,0)</f>
        <v>395641</v>
      </c>
      <c r="H131" s="16"/>
      <c r="I131" s="16"/>
    </row>
    <row r="132" spans="1:9" ht="20.100000000000001" customHeight="1" thickTop="1" x14ac:dyDescent="0.25">
      <c r="A132" s="102"/>
      <c r="B132" s="38"/>
      <c r="C132" s="21"/>
      <c r="D132" s="16"/>
      <c r="E132" s="16"/>
      <c r="F132" s="16"/>
      <c r="G132" s="16"/>
      <c r="H132" s="16"/>
      <c r="I132" s="16"/>
    </row>
    <row r="133" spans="1:9" ht="20.100000000000001" customHeight="1" thickBot="1" x14ac:dyDescent="0.3">
      <c r="A133" s="103" t="s">
        <v>185</v>
      </c>
      <c r="B133" s="21"/>
      <c r="C133" s="93">
        <f>ROUND(C130/3,0)</f>
        <v>13</v>
      </c>
      <c r="D133" s="19">
        <f>ROUND(D131*C133,0)</f>
        <v>4305496</v>
      </c>
      <c r="E133" s="16"/>
      <c r="F133" s="93">
        <f>ROUND(F130/3,0)</f>
        <v>13</v>
      </c>
      <c r="G133" s="19">
        <f>ROUND(G131*F133,0)</f>
        <v>5143333</v>
      </c>
      <c r="H133" s="16"/>
      <c r="I133" s="16"/>
    </row>
    <row r="134" spans="1:9" ht="8.1" customHeight="1" thickTop="1" x14ac:dyDescent="0.25"/>
    <row r="135" spans="1:9" ht="9.9499999999999993" customHeight="1" x14ac:dyDescent="0.25">
      <c r="A135" s="8"/>
      <c r="B135" s="9"/>
      <c r="C135" s="9"/>
      <c r="D135" s="10"/>
      <c r="E135" s="10"/>
      <c r="F135" s="10"/>
      <c r="G135" s="10"/>
      <c r="H135" s="10"/>
      <c r="I135" s="10"/>
    </row>
    <row r="232" spans="1:2" x14ac:dyDescent="0.25">
      <c r="B232" s="51"/>
    </row>
    <row r="233" spans="1:2" x14ac:dyDescent="0.25">
      <c r="B233" s="51"/>
    </row>
    <row r="234" spans="1:2" x14ac:dyDescent="0.25">
      <c r="B234" s="51"/>
    </row>
    <row r="235" spans="1:2" x14ac:dyDescent="0.25">
      <c r="A235" s="42"/>
      <c r="B235" s="52"/>
    </row>
    <row r="236" spans="1:2" x14ac:dyDescent="0.25">
      <c r="A236" s="42"/>
      <c r="B236" s="52"/>
    </row>
    <row r="237" spans="1:2" x14ac:dyDescent="0.25">
      <c r="A237" s="42"/>
      <c r="B237" s="52"/>
    </row>
    <row r="238" spans="1:2" x14ac:dyDescent="0.25">
      <c r="A238" s="42"/>
      <c r="B238" s="52"/>
    </row>
    <row r="239" spans="1:2" x14ac:dyDescent="0.25">
      <c r="A239" s="43"/>
      <c r="B239" s="52"/>
    </row>
    <row r="240" spans="1:2" x14ac:dyDescent="0.25">
      <c r="A240" s="42"/>
      <c r="B240" s="52"/>
    </row>
    <row r="241" spans="1:2" x14ac:dyDescent="0.25">
      <c r="A241" s="42"/>
      <c r="B241" s="52"/>
    </row>
    <row r="242" spans="1:2" x14ac:dyDescent="0.25">
      <c r="A242" s="42"/>
      <c r="B242" s="52"/>
    </row>
    <row r="243" spans="1:2" x14ac:dyDescent="0.25">
      <c r="A243" s="42"/>
      <c r="B243" s="52"/>
    </row>
    <row r="244" spans="1:2" x14ac:dyDescent="0.25">
      <c r="A244" s="43"/>
      <c r="B244" s="52"/>
    </row>
    <row r="245" spans="1:2" x14ac:dyDescent="0.25">
      <c r="A245" s="42"/>
      <c r="B245" s="52"/>
    </row>
    <row r="246" spans="1:2" x14ac:dyDescent="0.25">
      <c r="A246" s="42"/>
      <c r="B246" s="52"/>
    </row>
    <row r="247" spans="1:2" x14ac:dyDescent="0.25">
      <c r="A247" s="49"/>
      <c r="B247" s="52"/>
    </row>
    <row r="248" spans="1:2" x14ac:dyDescent="0.25">
      <c r="B248" s="52"/>
    </row>
    <row r="249" spans="1:2" x14ac:dyDescent="0.25">
      <c r="A249" s="42"/>
      <c r="B249" s="52"/>
    </row>
    <row r="250" spans="1:2" x14ac:dyDescent="0.25">
      <c r="A250" s="41"/>
      <c r="B250" s="52"/>
    </row>
    <row r="251" spans="1:2" x14ac:dyDescent="0.25">
      <c r="A251" s="43"/>
      <c r="B251" s="52"/>
    </row>
    <row r="252" spans="1:2" x14ac:dyDescent="0.25">
      <c r="A252" s="42"/>
      <c r="B252" s="52"/>
    </row>
    <row r="253" spans="1:2" x14ac:dyDescent="0.25">
      <c r="A253" s="41"/>
      <c r="B253" s="53"/>
    </row>
    <row r="254" spans="1:2" x14ac:dyDescent="0.25">
      <c r="A254" s="44"/>
      <c r="B254" s="54"/>
    </row>
    <row r="255" spans="1:2" x14ac:dyDescent="0.25">
      <c r="A255" s="44"/>
      <c r="B255" s="50"/>
    </row>
    <row r="256" spans="1:2" x14ac:dyDescent="0.25">
      <c r="B256" s="55"/>
    </row>
  </sheetData>
  <sheetProtection algorithmName="SHA-512" hashValue="3oxadK2rkRUUnHFViTkoWT3kkrFDqaJQSAYcJT6AykFoMvFsHhPvFoEtUeA12gQAOldGrENFCYC5v4sTS16P8g==" saltValue="CjSZxoKUbaE65JwVrqesGQ==" spinCount="100000" sheet="1" selectLockedCells="1" selectUnlockedCells="1"/>
  <protectedRanges>
    <protectedRange sqref="A235:A246 B237:B255 A251:A253 B235 A249" name="Range8_1"/>
  </protectedRanges>
  <mergeCells count="15">
    <mergeCell ref="C90:D90"/>
    <mergeCell ref="F90:G90"/>
    <mergeCell ref="C27:D27"/>
    <mergeCell ref="F27:G27"/>
    <mergeCell ref="C73:D73"/>
    <mergeCell ref="F73:G73"/>
    <mergeCell ref="C59:D59"/>
    <mergeCell ref="F59:G59"/>
    <mergeCell ref="A1:I1"/>
    <mergeCell ref="C3:D3"/>
    <mergeCell ref="F3:G3"/>
    <mergeCell ref="C43:D43"/>
    <mergeCell ref="F43:G43"/>
    <mergeCell ref="C10:D10"/>
    <mergeCell ref="F10:G10"/>
  </mergeCells>
  <conditionalFormatting sqref="B73:C73 E73:F73 H73">
    <cfRule type="cellIs" dxfId="107" priority="122" operator="equal">
      <formula>0</formula>
    </cfRule>
  </conditionalFormatting>
  <conditionalFormatting sqref="B66:G66">
    <cfRule type="cellIs" dxfId="106" priority="134" operator="equal">
      <formula>0</formula>
    </cfRule>
  </conditionalFormatting>
  <conditionalFormatting sqref="B107:G107">
    <cfRule type="cellIs" dxfId="105" priority="125"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104" priority="142" operator="equal">
      <formula>0</formula>
    </cfRule>
  </conditionalFormatting>
  <conditionalFormatting sqref="B12:I12">
    <cfRule type="cellIs" dxfId="103" priority="96" operator="equal">
      <formula>0</formula>
    </cfRule>
  </conditionalFormatting>
  <conditionalFormatting sqref="B23:I31">
    <cfRule type="cellIs" dxfId="102" priority="81" operator="equal">
      <formula>0</formula>
    </cfRule>
  </conditionalFormatting>
  <conditionalFormatting sqref="B36:I37">
    <cfRule type="cellIs" dxfId="101" priority="35" operator="equal">
      <formula>0</formula>
    </cfRule>
  </conditionalFormatting>
  <conditionalFormatting sqref="B75:I77">
    <cfRule type="cellIs" dxfId="100" priority="132" operator="equal">
      <formula>0</formula>
    </cfRule>
  </conditionalFormatting>
  <conditionalFormatting sqref="B80:I84">
    <cfRule type="cellIs" dxfId="99" priority="29" operator="equal">
      <formula>0</formula>
    </cfRule>
  </conditionalFormatting>
  <conditionalFormatting sqref="B113:I113">
    <cfRule type="cellIs" dxfId="98" priority="76" operator="equal">
      <formula>0</formula>
    </cfRule>
  </conditionalFormatting>
  <conditionalFormatting sqref="B124:I124">
    <cfRule type="cellIs" dxfId="97" priority="69" operator="equal">
      <formula>0</formula>
    </cfRule>
  </conditionalFormatting>
  <conditionalFormatting sqref="B135:I135">
    <cfRule type="cellIs" dxfId="96" priority="39" operator="equal">
      <formula>0</formula>
    </cfRule>
  </conditionalFormatting>
  <conditionalFormatting sqref="B232:I1048576">
    <cfRule type="cellIs" dxfId="95" priority="103" operator="equal">
      <formula>0</formula>
    </cfRule>
  </conditionalFormatting>
  <conditionalFormatting sqref="C10">
    <cfRule type="cellIs" dxfId="94" priority="38" operator="equal">
      <formula>0</formula>
    </cfRule>
  </conditionalFormatting>
  <conditionalFormatting sqref="C27:C28 H27:H28">
    <cfRule type="cellIs" dxfId="93" priority="123" operator="equal">
      <formula>0</formula>
    </cfRule>
  </conditionalFormatting>
  <conditionalFormatting sqref="C59 E59:F59">
    <cfRule type="cellIs" dxfId="92" priority="34" operator="equal">
      <formula>0</formula>
    </cfRule>
  </conditionalFormatting>
  <conditionalFormatting sqref="C114:C123">
    <cfRule type="cellIs" dxfId="91" priority="22" operator="equal">
      <formula>0</formula>
    </cfRule>
  </conditionalFormatting>
  <conditionalFormatting sqref="C125:C133">
    <cfRule type="cellIs" dxfId="90" priority="40" operator="equal">
      <formula>0</formula>
    </cfRule>
  </conditionalFormatting>
  <conditionalFormatting sqref="C53:D55">
    <cfRule type="cellIs" dxfId="89" priority="10" operator="equal">
      <formula>0</formula>
    </cfRule>
  </conditionalFormatting>
  <conditionalFormatting sqref="C79:D79 C85:D85 B86:D86 C87:D87 B88:D88 B89:G89 B90:C90 E90:F90 H90 B91:I96 H102:I107 D103:E103 B108:I108 C109:I110">
    <cfRule type="cellIs" dxfId="88" priority="133" operator="equal">
      <formula>0</formula>
    </cfRule>
  </conditionalFormatting>
  <conditionalFormatting sqref="C97:D97">
    <cfRule type="cellIs" dxfId="87" priority="16" operator="equal">
      <formula>0</formula>
    </cfRule>
  </conditionalFormatting>
  <conditionalFormatting sqref="C61:F61">
    <cfRule type="cellIs" dxfId="86" priority="54" operator="equal">
      <formula>0</formula>
    </cfRule>
  </conditionalFormatting>
  <conditionalFormatting sqref="C64:G65">
    <cfRule type="cellIs" dxfId="85" priority="47" operator="equal">
      <formula>0</formula>
    </cfRule>
  </conditionalFormatting>
  <conditionalFormatting sqref="C102:G102 G103 B104:G104">
    <cfRule type="cellIs" dxfId="84" priority="126" operator="equal">
      <formula>0</formula>
    </cfRule>
  </conditionalFormatting>
  <conditionalFormatting sqref="C105:G106">
    <cfRule type="cellIs" dxfId="83" priority="43" operator="equal">
      <formula>0</formula>
    </cfRule>
  </conditionalFormatting>
  <conditionalFormatting sqref="C13:I22">
    <cfRule type="cellIs" dxfId="82" priority="18" operator="equal">
      <formula>0</formula>
    </cfRule>
  </conditionalFormatting>
  <conditionalFormatting sqref="D115:D123">
    <cfRule type="cellIs" dxfId="81" priority="70" operator="equal">
      <formula>0</formula>
    </cfRule>
  </conditionalFormatting>
  <conditionalFormatting sqref="D126:G133">
    <cfRule type="cellIs" dxfId="80" priority="2" operator="equal">
      <formula>0</formula>
    </cfRule>
  </conditionalFormatting>
  <conditionalFormatting sqref="E10:F10">
    <cfRule type="cellIs" dxfId="79" priority="37" operator="equal">
      <formula>0</formula>
    </cfRule>
  </conditionalFormatting>
  <conditionalFormatting sqref="E114:F122">
    <cfRule type="cellIs" dxfId="78" priority="21" operator="equal">
      <formula>0</formula>
    </cfRule>
  </conditionalFormatting>
  <conditionalFormatting sqref="E125:F125">
    <cfRule type="cellIs" dxfId="77" priority="1" operator="equal">
      <formula>0</formula>
    </cfRule>
  </conditionalFormatting>
  <conditionalFormatting sqref="F53:I55">
    <cfRule type="cellIs" dxfId="76" priority="7" operator="equal">
      <formula>0</formula>
    </cfRule>
  </conditionalFormatting>
  <conditionalFormatting sqref="F97:I97">
    <cfRule type="cellIs" dxfId="75" priority="14" operator="equal">
      <formula>0</formula>
    </cfRule>
  </conditionalFormatting>
  <conditionalFormatting sqref="G61:G62 B63:G63">
    <cfRule type="cellIs" dxfId="74" priority="135" operator="equal">
      <formula>0</formula>
    </cfRule>
  </conditionalFormatting>
  <conditionalFormatting sqref="G115:G122">
    <cfRule type="cellIs" dxfId="73" priority="23" operator="equal">
      <formula>0</formula>
    </cfRule>
  </conditionalFormatting>
  <conditionalFormatting sqref="I5:I7">
    <cfRule type="cellIs" dxfId="72" priority="26"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1D0B-6F6A-49D7-BD31-7E832E20FFEE}">
  <dimension ref="A1:J256"/>
  <sheetViews>
    <sheetView zoomScale="115" zoomScaleNormal="115" workbookViewId="0">
      <pane ySplit="1" topLeftCell="A88" activePane="bottomLeft" state="frozen"/>
      <selection pane="bottomLeft" activeCell="A64" sqref="A64"/>
    </sheetView>
  </sheetViews>
  <sheetFormatPr defaultRowHeight="15" x14ac:dyDescent="0.25"/>
  <cols>
    <col min="1" max="1" width="88.42578125" customWidth="1"/>
    <col min="2" max="2" width="8.7109375" customWidth="1"/>
    <col min="3" max="3" width="10.140625" bestFit="1" customWidth="1"/>
    <col min="4" max="4" width="12.7109375" style="14" customWidth="1"/>
    <col min="5" max="5" width="2.28515625" style="14" customWidth="1"/>
    <col min="6" max="6" width="8.7109375" style="14" customWidth="1"/>
    <col min="7" max="7" width="12.7109375" style="14" customWidth="1"/>
    <col min="8" max="8" width="2.28515625" style="14" customWidth="1"/>
    <col min="9" max="9" width="12.7109375" style="14" customWidth="1"/>
  </cols>
  <sheetData>
    <row r="1" spans="1:9" ht="24.95" customHeight="1" x14ac:dyDescent="0.25">
      <c r="A1" s="147" t="s">
        <v>187</v>
      </c>
      <c r="B1" s="147"/>
      <c r="C1" s="147"/>
      <c r="D1" s="147"/>
      <c r="E1" s="147"/>
      <c r="F1" s="147"/>
      <c r="G1" s="147"/>
      <c r="H1" s="147"/>
      <c r="I1" s="147"/>
    </row>
    <row r="2" spans="1:9" ht="9.9499999999999993" customHeight="1" x14ac:dyDescent="0.25">
      <c r="A2" s="8"/>
      <c r="B2" s="9"/>
      <c r="C2" s="9"/>
      <c r="D2" s="10"/>
      <c r="E2" s="10"/>
      <c r="F2" s="10"/>
      <c r="G2" s="10"/>
      <c r="H2" s="10"/>
      <c r="I2" s="10"/>
    </row>
    <row r="3" spans="1:9" ht="20.100000000000001" customHeight="1" x14ac:dyDescent="0.25">
      <c r="A3" s="7" t="s">
        <v>0</v>
      </c>
      <c r="C3" s="144" t="s">
        <v>6</v>
      </c>
      <c r="D3" s="144"/>
      <c r="E3" s="33"/>
      <c r="F3" s="144" t="s">
        <v>7</v>
      </c>
      <c r="G3" s="144"/>
      <c r="H3" s="33"/>
    </row>
    <row r="4" spans="1:9" x14ac:dyDescent="0.25">
      <c r="A4" s="26" t="s">
        <v>8</v>
      </c>
      <c r="D4" s="24"/>
      <c r="E4" s="24"/>
      <c r="G4" s="24"/>
      <c r="H4" s="24"/>
      <c r="I4" s="24"/>
    </row>
    <row r="5" spans="1:9" ht="20.100000000000001" customHeight="1" x14ac:dyDescent="0.25">
      <c r="A5" s="27" t="s">
        <v>112</v>
      </c>
      <c r="D5" s="57">
        <f>INPUTS!$F$11</f>
        <v>195</v>
      </c>
      <c r="E5" s="1"/>
      <c r="G5" s="57">
        <f>INPUTS!$F$13</f>
        <v>105</v>
      </c>
      <c r="H5" s="1"/>
      <c r="I5" s="57">
        <f>D5+G5</f>
        <v>300</v>
      </c>
    </row>
    <row r="6" spans="1:9" ht="20.100000000000001" customHeight="1" x14ac:dyDescent="0.25">
      <c r="A6" s="2" t="s">
        <v>135</v>
      </c>
      <c r="C6" s="13">
        <f>INPUTS!$F$10</f>
        <v>0.65</v>
      </c>
      <c r="D6" s="1">
        <f>-ROUND(D5*C6,0)</f>
        <v>-127</v>
      </c>
      <c r="E6" s="1"/>
      <c r="F6" s="13">
        <f>C6</f>
        <v>0.65</v>
      </c>
      <c r="G6" s="1">
        <f>-ROUND(G5*F6,0)</f>
        <v>-68</v>
      </c>
      <c r="H6" s="1"/>
      <c r="I6" s="57">
        <f>D6+G6</f>
        <v>-195</v>
      </c>
    </row>
    <row r="7" spans="1:9" ht="20.100000000000001" customHeight="1" thickBot="1" x14ac:dyDescent="0.3">
      <c r="A7" s="2" t="s">
        <v>121</v>
      </c>
      <c r="B7" s="12"/>
      <c r="D7" s="4">
        <f>SUM(D5:D6)</f>
        <v>68</v>
      </c>
      <c r="E7" s="1"/>
      <c r="G7" s="4">
        <f>SUM(G5:G6)</f>
        <v>37</v>
      </c>
      <c r="H7" s="1"/>
      <c r="I7" s="57">
        <f>D7+G7</f>
        <v>105</v>
      </c>
    </row>
    <row r="8" spans="1:9" ht="8.1" customHeight="1" thickTop="1" x14ac:dyDescent="0.25">
      <c r="A8" s="2"/>
      <c r="B8" s="12"/>
      <c r="C8" s="12"/>
      <c r="D8" s="1"/>
      <c r="E8" s="1"/>
      <c r="F8" s="1"/>
      <c r="G8" s="25"/>
      <c r="H8" s="25"/>
      <c r="I8" s="25"/>
    </row>
    <row r="9" spans="1:9" ht="9.9499999999999993" customHeight="1" x14ac:dyDescent="0.25">
      <c r="A9" s="8"/>
      <c r="B9" s="9"/>
      <c r="C9" s="9"/>
      <c r="D9" s="10"/>
      <c r="E9" s="10"/>
      <c r="F9" s="10"/>
      <c r="G9" s="10"/>
      <c r="H9" s="10"/>
      <c r="I9" s="10"/>
    </row>
    <row r="10" spans="1:9" ht="20.100000000000001" customHeight="1" x14ac:dyDescent="0.25">
      <c r="A10" s="7" t="s">
        <v>5</v>
      </c>
      <c r="C10" s="146" t="s">
        <v>26</v>
      </c>
      <c r="D10" s="146"/>
      <c r="E10" s="1"/>
      <c r="F10" s="146" t="s">
        <v>27</v>
      </c>
      <c r="G10" s="146"/>
      <c r="H10" s="1"/>
      <c r="I10" s="36" t="s">
        <v>85</v>
      </c>
    </row>
    <row r="11" spans="1:9" ht="8.1" customHeight="1" x14ac:dyDescent="0.25">
      <c r="A11" s="7"/>
      <c r="D11"/>
      <c r="E11"/>
      <c r="F11"/>
      <c r="G11"/>
      <c r="H11"/>
      <c r="I11"/>
    </row>
    <row r="12" spans="1:9" ht="20.100000000000001" customHeight="1" x14ac:dyDescent="0.25">
      <c r="A12" s="2" t="s">
        <v>113</v>
      </c>
      <c r="D12" s="29">
        <f>INPUTS!$F$67</f>
        <v>8</v>
      </c>
      <c r="E12" s="1"/>
      <c r="F12"/>
      <c r="G12" s="29">
        <f>D12</f>
        <v>8</v>
      </c>
      <c r="H12" s="1"/>
      <c r="I12" s="1"/>
    </row>
    <row r="13" spans="1:9" ht="20.100000000000001" customHeight="1" thickBot="1" x14ac:dyDescent="0.3">
      <c r="A13" s="27" t="s">
        <v>111</v>
      </c>
      <c r="C13" s="93">
        <f>$D$5</f>
        <v>195</v>
      </c>
      <c r="D13" s="19">
        <f>ROUND(-$D$12*C13,0)</f>
        <v>-1560</v>
      </c>
      <c r="E13" s="1"/>
      <c r="F13" s="93">
        <f>$G$5</f>
        <v>105</v>
      </c>
      <c r="G13" s="19">
        <f>ROUND(-$G$12*F13,0)</f>
        <v>-840</v>
      </c>
      <c r="H13" s="1"/>
      <c r="I13" s="19">
        <f>D13+G13</f>
        <v>-2400</v>
      </c>
    </row>
    <row r="14" spans="1:9" ht="9.9499999999999993" customHeight="1" thickTop="1" x14ac:dyDescent="0.25">
      <c r="A14" s="2"/>
      <c r="D14" s="1"/>
      <c r="E14" s="1"/>
      <c r="F14" s="1"/>
      <c r="G14" s="1"/>
      <c r="H14" s="1"/>
      <c r="I14" s="1"/>
    </row>
    <row r="15" spans="1:9" ht="20.100000000000001" customHeight="1" x14ac:dyDescent="0.25">
      <c r="A15" s="2" t="s">
        <v>136</v>
      </c>
      <c r="D15" s="29">
        <f>INPUTS!$F$68</f>
        <v>340</v>
      </c>
      <c r="E15" s="1"/>
      <c r="F15"/>
      <c r="G15" s="29">
        <f>$D$15</f>
        <v>340</v>
      </c>
      <c r="H15" s="1"/>
      <c r="I15" s="1"/>
    </row>
    <row r="16" spans="1:9" ht="20.100000000000001" customHeight="1" x14ac:dyDescent="0.25">
      <c r="A16" s="27" t="s">
        <v>109</v>
      </c>
      <c r="C16" s="34">
        <f>$D$35+$G$35</f>
        <v>45</v>
      </c>
      <c r="D16" s="16">
        <f>ROUND($D$15*C16,0)</f>
        <v>15300</v>
      </c>
      <c r="E16" s="1"/>
      <c r="F16" s="34">
        <f>D82+G82</f>
        <v>25</v>
      </c>
      <c r="G16" s="16">
        <f>ROUND($D$15*F16,0)</f>
        <v>8500</v>
      </c>
      <c r="H16" s="1"/>
      <c r="I16" s="16">
        <f>D16+G16</f>
        <v>23800</v>
      </c>
    </row>
    <row r="17" spans="1:10" s="94" customFormat="1" ht="20.100000000000001" customHeight="1" x14ac:dyDescent="0.25">
      <c r="A17" s="27" t="s">
        <v>110</v>
      </c>
      <c r="C17" s="95">
        <f>$D$34+$G$34</f>
        <v>-3</v>
      </c>
      <c r="D17" s="96">
        <f>ROUND($D$15*C17,0)</f>
        <v>-1020</v>
      </c>
      <c r="E17" s="97"/>
      <c r="F17" s="95">
        <f>$D$81+$G$81</f>
        <v>-1</v>
      </c>
      <c r="G17" s="96">
        <f>ROUND($D$15*F17,0)</f>
        <v>-340</v>
      </c>
      <c r="H17" s="97"/>
      <c r="I17" s="96">
        <f>D17+G17</f>
        <v>-1360</v>
      </c>
    </row>
    <row r="18" spans="1:10" s="94" customFormat="1" ht="20.100000000000001" customHeight="1" x14ac:dyDescent="0.25">
      <c r="A18" s="2" t="s">
        <v>129</v>
      </c>
      <c r="C18" s="95">
        <f>$D$36+$G$36</f>
        <v>-1</v>
      </c>
      <c r="D18" s="96">
        <f>ROUND($D$15*C18,0)</f>
        <v>-340</v>
      </c>
      <c r="E18" s="97"/>
      <c r="F18" s="95">
        <f>$D$83+$G$83</f>
        <v>0</v>
      </c>
      <c r="G18" s="96">
        <f>ROUND($D$15*F18,0)</f>
        <v>0</v>
      </c>
      <c r="H18" s="97"/>
      <c r="I18" s="96">
        <f>D18+G18</f>
        <v>-340</v>
      </c>
    </row>
    <row r="19" spans="1:10" ht="20.100000000000001" customHeight="1" thickBot="1" x14ac:dyDescent="0.3">
      <c r="A19" s="27" t="s">
        <v>114</v>
      </c>
      <c r="C19" s="35">
        <f>SUM(C16:C18)</f>
        <v>41</v>
      </c>
      <c r="D19" s="18">
        <f>SUM(D16:D18)</f>
        <v>13940</v>
      </c>
      <c r="E19" s="1"/>
      <c r="F19" s="35">
        <f>SUM(F16:F18)</f>
        <v>24</v>
      </c>
      <c r="G19" s="18">
        <f>SUM(G16:G18)</f>
        <v>8160</v>
      </c>
      <c r="H19" s="1"/>
      <c r="I19" s="18">
        <f>SUM(I16:I18)</f>
        <v>22100</v>
      </c>
    </row>
    <row r="20" spans="1:10" ht="8.1" customHeight="1" thickTop="1" x14ac:dyDescent="0.25">
      <c r="A20" s="2"/>
      <c r="D20" s="1"/>
      <c r="E20" s="1"/>
      <c r="F20" s="1"/>
      <c r="G20" s="1"/>
      <c r="H20" s="1"/>
      <c r="I20" s="1"/>
    </row>
    <row r="21" spans="1:10" ht="20.100000000000001" customHeight="1" x14ac:dyDescent="0.25">
      <c r="A21" s="2" t="s">
        <v>115</v>
      </c>
      <c r="D21" s="29">
        <f>INPUTS!$F$69</f>
        <v>333</v>
      </c>
      <c r="E21" s="1"/>
      <c r="F21"/>
      <c r="G21" s="29">
        <f>D21</f>
        <v>333</v>
      </c>
      <c r="H21" s="1"/>
      <c r="I21" s="1"/>
      <c r="J21" s="23"/>
    </row>
    <row r="22" spans="1:10" ht="20.100000000000001" customHeight="1" thickBot="1" x14ac:dyDescent="0.3">
      <c r="A22" s="27" t="s">
        <v>116</v>
      </c>
      <c r="C22" s="34">
        <f>C19</f>
        <v>41</v>
      </c>
      <c r="D22" s="19">
        <f>ROUND(-$D$21*C22,0)</f>
        <v>-13653</v>
      </c>
      <c r="E22" s="1"/>
      <c r="F22" s="34">
        <f>F19</f>
        <v>24</v>
      </c>
      <c r="G22" s="19">
        <f>ROUND(-$G$21*F22,0)</f>
        <v>-7992</v>
      </c>
      <c r="H22" s="16"/>
      <c r="I22" s="19">
        <f>D22+G22</f>
        <v>-21645</v>
      </c>
    </row>
    <row r="23" spans="1:10" ht="8.1" customHeight="1" thickTop="1" x14ac:dyDescent="0.25">
      <c r="A23" s="2"/>
      <c r="D23"/>
      <c r="E23"/>
      <c r="F23"/>
      <c r="G23"/>
      <c r="H23"/>
      <c r="I23"/>
    </row>
    <row r="24" spans="1:10" ht="20.100000000000001" customHeight="1" thickBot="1" x14ac:dyDescent="0.3">
      <c r="A24" s="2" t="s">
        <v>88</v>
      </c>
      <c r="D24" s="19">
        <f>D13+D19+D22</f>
        <v>-1273</v>
      </c>
      <c r="E24" s="1"/>
      <c r="F24"/>
      <c r="G24" s="19">
        <f>G13+G19+G22</f>
        <v>-672</v>
      </c>
      <c r="H24" s="16"/>
      <c r="I24" s="19">
        <f>D24+G24</f>
        <v>-1945</v>
      </c>
    </row>
    <row r="25" spans="1:10" ht="8.1" customHeight="1" thickTop="1" x14ac:dyDescent="0.25">
      <c r="A25" s="2"/>
      <c r="D25" s="1"/>
      <c r="E25" s="1"/>
      <c r="F25" s="1"/>
      <c r="G25" s="1"/>
      <c r="H25" s="1"/>
      <c r="I25" s="1"/>
    </row>
    <row r="26" spans="1:10" ht="9.9499999999999993" customHeight="1" x14ac:dyDescent="0.25">
      <c r="A26" s="8"/>
      <c r="B26" s="9"/>
      <c r="C26" s="9"/>
      <c r="D26" s="10"/>
      <c r="E26" s="10"/>
      <c r="F26" s="10"/>
      <c r="G26" s="10"/>
      <c r="H26" s="10"/>
      <c r="I26" s="10"/>
    </row>
    <row r="27" spans="1:10" ht="20.100000000000001" customHeight="1" x14ac:dyDescent="0.25">
      <c r="A27" s="7" t="s">
        <v>101</v>
      </c>
      <c r="C27" s="146" t="s">
        <v>15</v>
      </c>
      <c r="D27" s="146"/>
      <c r="E27" s="1"/>
      <c r="F27" s="146" t="s">
        <v>16</v>
      </c>
      <c r="G27" s="146"/>
      <c r="H27" s="28"/>
      <c r="I27" s="92" t="s">
        <v>14</v>
      </c>
    </row>
    <row r="28" spans="1:10" ht="8.1" customHeight="1" x14ac:dyDescent="0.25">
      <c r="A28" s="7"/>
      <c r="D28"/>
      <c r="E28"/>
      <c r="F28"/>
      <c r="G28"/>
      <c r="H28"/>
      <c r="I28"/>
    </row>
    <row r="29" spans="1:10" ht="20.100000000000001" customHeight="1" x14ac:dyDescent="0.25">
      <c r="A29" s="2" t="s">
        <v>12</v>
      </c>
      <c r="C29" s="30"/>
      <c r="D29" s="29">
        <f>INPUTS!$F$28</f>
        <v>350000</v>
      </c>
      <c r="E29" s="1"/>
      <c r="F29" s="1"/>
      <c r="G29" s="29">
        <f>INPUTS!$F$33</f>
        <v>600000</v>
      </c>
      <c r="H29" s="1"/>
      <c r="I29" s="1"/>
    </row>
    <row r="30" spans="1:10" ht="9.9499999999999993" customHeight="1" x14ac:dyDescent="0.25">
      <c r="A30" s="2"/>
      <c r="D30" s="1"/>
      <c r="E30" s="1"/>
      <c r="F30" s="1"/>
      <c r="G30" s="1"/>
      <c r="H30" s="1"/>
      <c r="I30" s="1"/>
    </row>
    <row r="31" spans="1:10" ht="20.100000000000001" customHeight="1" thickBot="1" x14ac:dyDescent="0.3">
      <c r="A31" s="2" t="s">
        <v>89</v>
      </c>
      <c r="B31" s="31">
        <f>D7</f>
        <v>68</v>
      </c>
      <c r="C31" s="13">
        <f>INPUTS!$F$22</f>
        <v>0.6</v>
      </c>
      <c r="D31" s="1">
        <f>ROUND($B$31*$C$31,0)</f>
        <v>41</v>
      </c>
      <c r="E31" s="1"/>
      <c r="F31" s="13">
        <f>1-C31</f>
        <v>0.4</v>
      </c>
      <c r="G31" s="1">
        <f>B31-D31</f>
        <v>27</v>
      </c>
      <c r="H31" s="1"/>
      <c r="I31" s="1">
        <f>D31+G31</f>
        <v>68</v>
      </c>
    </row>
    <row r="32" spans="1:10" ht="20.100000000000001" customHeight="1" thickTop="1" x14ac:dyDescent="0.25">
      <c r="A32" s="2" t="s">
        <v>177</v>
      </c>
      <c r="C32" s="13">
        <f>INPUTS!$F$23</f>
        <v>0.3</v>
      </c>
      <c r="D32" s="1">
        <f>-ROUND(D31*C32,0)</f>
        <v>-12</v>
      </c>
      <c r="E32" s="1"/>
      <c r="F32" s="13">
        <f>$C$32</f>
        <v>0.3</v>
      </c>
      <c r="G32" s="1">
        <f>-ROUND(G31*F32,0)</f>
        <v>-8</v>
      </c>
      <c r="H32" s="1"/>
      <c r="I32" s="1">
        <f>D32+G32</f>
        <v>-20</v>
      </c>
    </row>
    <row r="33" spans="1:9" ht="20.100000000000001" customHeight="1" x14ac:dyDescent="0.25">
      <c r="A33" s="2" t="s">
        <v>137</v>
      </c>
      <c r="B33" s="12"/>
      <c r="D33" s="3">
        <f>SUM(D31:D32)</f>
        <v>29</v>
      </c>
      <c r="E33" s="1"/>
      <c r="F33" s="3"/>
      <c r="G33" s="3">
        <f>SUM(G31:G32)</f>
        <v>19</v>
      </c>
      <c r="H33" s="1"/>
      <c r="I33" s="3">
        <f>SUM(I31:I32)</f>
        <v>48</v>
      </c>
    </row>
    <row r="34" spans="1:9" ht="20.100000000000001" customHeight="1" x14ac:dyDescent="0.25">
      <c r="A34" s="2" t="s">
        <v>178</v>
      </c>
      <c r="B34" s="12"/>
      <c r="C34" s="13">
        <f>INPUTS!$F$24</f>
        <v>0.06</v>
      </c>
      <c r="D34" s="1">
        <f>-ROUND(D33*C34,0)</f>
        <v>-2</v>
      </c>
      <c r="E34" s="1"/>
      <c r="F34" s="13">
        <f>$C$34</f>
        <v>0.06</v>
      </c>
      <c r="G34" s="1">
        <f>-ROUND(G33*F34,0)</f>
        <v>-1</v>
      </c>
      <c r="H34" s="1"/>
      <c r="I34" s="1">
        <f>D34+G34</f>
        <v>-3</v>
      </c>
    </row>
    <row r="35" spans="1:9" ht="20.100000000000001" customHeight="1" x14ac:dyDescent="0.25">
      <c r="A35" s="2" t="s">
        <v>128</v>
      </c>
      <c r="B35" s="12"/>
      <c r="D35" s="3">
        <f>SUM(D33:D34)</f>
        <v>27</v>
      </c>
      <c r="E35" s="1"/>
      <c r="F35"/>
      <c r="G35" s="3">
        <f>SUM(G33:G34)</f>
        <v>18</v>
      </c>
      <c r="H35" s="1"/>
      <c r="I35" s="3">
        <f>SUM(I33:I34)</f>
        <v>45</v>
      </c>
    </row>
    <row r="36" spans="1:9" ht="20.100000000000001" customHeight="1" x14ac:dyDescent="0.25">
      <c r="A36" s="2" t="s">
        <v>129</v>
      </c>
      <c r="B36" s="12"/>
      <c r="C36" s="13">
        <f>INPUTS!$F$25</f>
        <v>0.02</v>
      </c>
      <c r="D36" s="1">
        <f>-ROUND(D35*C36,0)</f>
        <v>-1</v>
      </c>
      <c r="E36" s="1"/>
      <c r="F36" s="13">
        <f>$C$36</f>
        <v>0.02</v>
      </c>
      <c r="G36" s="1">
        <f>-ROUND(G35*F36,0)</f>
        <v>0</v>
      </c>
      <c r="H36" s="1"/>
      <c r="I36" s="1">
        <f>D36+G36</f>
        <v>-1</v>
      </c>
    </row>
    <row r="37" spans="1:9" ht="20.100000000000001" customHeight="1" x14ac:dyDescent="0.25">
      <c r="A37" s="2" t="s">
        <v>117</v>
      </c>
      <c r="B37" s="12"/>
      <c r="D37" s="3">
        <f>SUM(D35:D36)</f>
        <v>26</v>
      </c>
      <c r="E37" s="1"/>
      <c r="F37"/>
      <c r="G37" s="3">
        <f>SUM(G35:G36)</f>
        <v>18</v>
      </c>
      <c r="H37" s="1"/>
      <c r="I37" s="3">
        <f>SUM(I35:I36)</f>
        <v>44</v>
      </c>
    </row>
    <row r="38" spans="1:9" ht="20.100000000000001" customHeight="1" x14ac:dyDescent="0.25">
      <c r="A38" s="2" t="s">
        <v>118</v>
      </c>
      <c r="C38" s="13">
        <f>INPUTS!$F$26</f>
        <v>0.04</v>
      </c>
      <c r="D38" s="1">
        <f>-ROUND(D37*C38,0)</f>
        <v>-1</v>
      </c>
      <c r="E38" s="1"/>
      <c r="F38" s="13">
        <f>$C$38</f>
        <v>0.04</v>
      </c>
      <c r="G38" s="1">
        <f>-ROUND(G37*F38,0)</f>
        <v>-1</v>
      </c>
      <c r="H38" s="1"/>
      <c r="I38" s="1">
        <f>D38+G38</f>
        <v>-2</v>
      </c>
    </row>
    <row r="39" spans="1:9" ht="20.100000000000001" customHeight="1" x14ac:dyDescent="0.25">
      <c r="A39" s="2" t="s">
        <v>120</v>
      </c>
      <c r="D39" s="3">
        <f>SUM(D37:D38)</f>
        <v>25</v>
      </c>
      <c r="E39" s="1"/>
      <c r="F39" s="3"/>
      <c r="G39" s="3">
        <f>SUM(G37:G38)</f>
        <v>17</v>
      </c>
      <c r="H39" s="1"/>
      <c r="I39" s="3">
        <f>SUM(I37:I38)</f>
        <v>42</v>
      </c>
    </row>
    <row r="40" spans="1:9" ht="20.100000000000001" customHeight="1" x14ac:dyDescent="0.25">
      <c r="A40" s="2" t="s">
        <v>90</v>
      </c>
      <c r="C40" s="13">
        <f>INPUTS!$F$39</f>
        <v>0.8</v>
      </c>
      <c r="D40" s="1">
        <f>-ROUND(D39*C40,0)</f>
        <v>-20</v>
      </c>
      <c r="E40" s="1"/>
      <c r="F40" s="13">
        <f>$C$40</f>
        <v>0.8</v>
      </c>
      <c r="G40" s="1">
        <f>-ROUND(G39*F40,0)</f>
        <v>-14</v>
      </c>
      <c r="H40" s="1"/>
      <c r="I40" s="1">
        <f>D40+G40</f>
        <v>-34</v>
      </c>
    </row>
    <row r="41" spans="1:9" ht="20.100000000000001" customHeight="1" thickBot="1" x14ac:dyDescent="0.3">
      <c r="A41" s="2" t="s">
        <v>119</v>
      </c>
      <c r="D41" s="4">
        <f>SUM(D39:D40)</f>
        <v>5</v>
      </c>
      <c r="E41" s="1"/>
      <c r="F41" s="1"/>
      <c r="G41" s="4">
        <f>SUM(G39:G40)</f>
        <v>3</v>
      </c>
      <c r="H41" s="1"/>
      <c r="I41" s="4">
        <f>SUM(I39:I40)</f>
        <v>8</v>
      </c>
    </row>
    <row r="42" spans="1:9" ht="8.1" customHeight="1" thickTop="1" x14ac:dyDescent="0.25">
      <c r="A42" s="20"/>
      <c r="D42" s="1"/>
      <c r="E42" s="1"/>
      <c r="F42" s="1"/>
      <c r="G42" s="1"/>
      <c r="H42" s="1"/>
      <c r="I42" s="1"/>
    </row>
    <row r="43" spans="1:9" ht="20.100000000000001" customHeight="1" x14ac:dyDescent="0.25">
      <c r="A43" s="7" t="s">
        <v>102</v>
      </c>
      <c r="C43" s="145" t="s">
        <v>15</v>
      </c>
      <c r="D43" s="145"/>
      <c r="E43" s="28"/>
      <c r="F43" s="145" t="s">
        <v>16</v>
      </c>
      <c r="G43" s="145"/>
      <c r="H43" s="28"/>
      <c r="I43" s="36" t="s">
        <v>14</v>
      </c>
    </row>
    <row r="44" spans="1:9" ht="8.1" customHeight="1" x14ac:dyDescent="0.25">
      <c r="A44" s="7"/>
      <c r="D44"/>
      <c r="E44"/>
      <c r="F44"/>
      <c r="G44"/>
      <c r="H44"/>
      <c r="I44"/>
    </row>
    <row r="45" spans="1:9" ht="20.100000000000001" customHeight="1" x14ac:dyDescent="0.25">
      <c r="A45" s="2" t="s">
        <v>130</v>
      </c>
      <c r="D45" s="29">
        <f>$D$29</f>
        <v>350000</v>
      </c>
      <c r="E45"/>
      <c r="F45"/>
      <c r="G45" s="29">
        <f>G29</f>
        <v>600000</v>
      </c>
      <c r="H45"/>
      <c r="I45"/>
    </row>
    <row r="46" spans="1:9" ht="20.100000000000001" customHeight="1" x14ac:dyDescent="0.25">
      <c r="A46" s="2" t="s">
        <v>92</v>
      </c>
      <c r="D46" s="13">
        <f>INPUTS!$F$30</f>
        <v>0.9</v>
      </c>
      <c r="E46"/>
      <c r="F46"/>
      <c r="G46" s="13">
        <f>INPUTS!$F$35</f>
        <v>0.85</v>
      </c>
      <c r="H46"/>
      <c r="I46"/>
    </row>
    <row r="47" spans="1:9" ht="20.100000000000001" customHeight="1" x14ac:dyDescent="0.25">
      <c r="A47" s="2" t="s">
        <v>93</v>
      </c>
      <c r="D47" s="29">
        <f>ROUND(D45*D46,0)</f>
        <v>315000</v>
      </c>
      <c r="E47"/>
      <c r="F47"/>
      <c r="G47" s="29">
        <f>ROUND(G45*G46,0)</f>
        <v>510000</v>
      </c>
      <c r="H47"/>
      <c r="I47"/>
    </row>
    <row r="48" spans="1:9" ht="20.100000000000001" customHeight="1" thickBot="1" x14ac:dyDescent="0.3">
      <c r="A48" s="2" t="s">
        <v>131</v>
      </c>
      <c r="D48" s="31">
        <f>$D$31</f>
        <v>41</v>
      </c>
      <c r="E48"/>
      <c r="F48"/>
      <c r="G48" s="31">
        <f>$G$31</f>
        <v>27</v>
      </c>
      <c r="H48"/>
      <c r="I48"/>
    </row>
    <row r="49" spans="1:9" ht="20.100000000000001" customHeight="1" thickTop="1" x14ac:dyDescent="0.25">
      <c r="A49" s="2"/>
      <c r="D49"/>
      <c r="E49"/>
      <c r="F49"/>
      <c r="G49"/>
      <c r="H49"/>
      <c r="I49"/>
    </row>
    <row r="50" spans="1:9" ht="20.100000000000001" customHeight="1" thickBot="1" x14ac:dyDescent="0.3">
      <c r="A50" s="2" t="s">
        <v>94</v>
      </c>
      <c r="C50" s="58">
        <f>INPUTS!$F$38</f>
        <v>0.01</v>
      </c>
      <c r="D50" s="19">
        <f>ROUND($D$47*C50,0)</f>
        <v>3150</v>
      </c>
      <c r="E50" s="16"/>
      <c r="F50" s="58">
        <f>INPUTS!$F$38</f>
        <v>0.01</v>
      </c>
      <c r="G50" s="19">
        <f>ROUND($G$47*F50,0)</f>
        <v>5100</v>
      </c>
      <c r="H50" s="16"/>
      <c r="I50" s="16"/>
    </row>
    <row r="51" spans="1:9" ht="9.9499999999999993" customHeight="1" thickTop="1" x14ac:dyDescent="0.25">
      <c r="A51" s="2"/>
      <c r="B51" s="2"/>
      <c r="C51" s="2"/>
      <c r="D51" s="2"/>
      <c r="E51" s="2"/>
      <c r="F51" s="2"/>
      <c r="G51" s="2"/>
      <c r="H51" s="2"/>
      <c r="I51" s="16"/>
    </row>
    <row r="52" spans="1:9" ht="20.100000000000001" customHeight="1" x14ac:dyDescent="0.25">
      <c r="A52" s="2" t="s">
        <v>98</v>
      </c>
      <c r="C52" s="34">
        <f>$D$31</f>
        <v>41</v>
      </c>
      <c r="D52" s="16">
        <f>ROUND($D$50*C52,0)</f>
        <v>129150</v>
      </c>
      <c r="E52" s="16"/>
      <c r="F52" s="34">
        <f>$G$31</f>
        <v>27</v>
      </c>
      <c r="G52" s="16">
        <f>ROUND($G$50*F52,0)</f>
        <v>137700</v>
      </c>
      <c r="H52" s="16"/>
      <c r="I52" s="16">
        <f>D52+G52</f>
        <v>266850</v>
      </c>
    </row>
    <row r="53" spans="1:9" ht="20.100000000000001" customHeight="1" x14ac:dyDescent="0.25">
      <c r="A53" s="2" t="s">
        <v>13</v>
      </c>
      <c r="C53" s="34">
        <f>D38</f>
        <v>-1</v>
      </c>
      <c r="D53" s="16">
        <f>ROUND($D$50*C53,0)</f>
        <v>-3150</v>
      </c>
      <c r="E53"/>
      <c r="F53" s="34">
        <f>G38</f>
        <v>-1</v>
      </c>
      <c r="G53" s="16">
        <f>ROUND($G$50*F53,0)</f>
        <v>-5100</v>
      </c>
      <c r="H53" s="16"/>
      <c r="I53" s="16">
        <f>D53+G53</f>
        <v>-8250</v>
      </c>
    </row>
    <row r="54" spans="1:9" ht="20.100000000000001" customHeight="1" thickBot="1" x14ac:dyDescent="0.3">
      <c r="A54" s="2" t="s">
        <v>95</v>
      </c>
      <c r="C54" s="35">
        <f>SUM(C52:C53)</f>
        <v>40</v>
      </c>
      <c r="D54" s="18">
        <f>SUM(D52:D53)</f>
        <v>126000</v>
      </c>
      <c r="E54"/>
      <c r="F54" s="35">
        <f>SUM(F52:F53)</f>
        <v>26</v>
      </c>
      <c r="G54" s="18">
        <f>SUM(G52:G53)</f>
        <v>132600</v>
      </c>
      <c r="H54" s="16"/>
      <c r="I54" s="18">
        <f>SUM(I52:I53)</f>
        <v>258600</v>
      </c>
    </row>
    <row r="55" spans="1:9" ht="20.100000000000001" customHeight="1" thickTop="1" thickBot="1" x14ac:dyDescent="0.3">
      <c r="A55" s="2" t="s">
        <v>202</v>
      </c>
      <c r="C55" s="122">
        <f>$D$41</f>
        <v>5</v>
      </c>
      <c r="D55" s="19">
        <f>$D$45*$C$55</f>
        <v>1750000</v>
      </c>
      <c r="E55"/>
      <c r="F55" s="122">
        <f>$G$41</f>
        <v>3</v>
      </c>
      <c r="G55" s="19">
        <f>$G$45*$F$55</f>
        <v>1800000</v>
      </c>
      <c r="H55" s="16"/>
      <c r="I55" s="19">
        <f>D55+G55</f>
        <v>3550000</v>
      </c>
    </row>
    <row r="56" spans="1:9" ht="20.100000000000001" customHeight="1" thickTop="1" thickBot="1" x14ac:dyDescent="0.3">
      <c r="A56" s="2" t="s">
        <v>96</v>
      </c>
      <c r="C56" s="93">
        <f>$D$39</f>
        <v>25</v>
      </c>
      <c r="D56" s="19">
        <f>C56*D47</f>
        <v>7875000</v>
      </c>
      <c r="E56" s="16"/>
      <c r="F56" s="93">
        <f>$G$39</f>
        <v>17</v>
      </c>
      <c r="G56" s="19">
        <f>F56*G47</f>
        <v>8670000</v>
      </c>
      <c r="H56" s="16"/>
      <c r="I56" s="19">
        <f>D56+G56</f>
        <v>16545000</v>
      </c>
    </row>
    <row r="57" spans="1:9" ht="20.100000000000001" customHeight="1" thickTop="1" thickBot="1" x14ac:dyDescent="0.3">
      <c r="A57" s="2" t="s">
        <v>122</v>
      </c>
      <c r="C57" s="93">
        <f>$D$41</f>
        <v>5</v>
      </c>
      <c r="D57" s="19">
        <f>C57*D47</f>
        <v>1575000</v>
      </c>
      <c r="E57" s="16"/>
      <c r="F57" s="93">
        <f>$G$41</f>
        <v>3</v>
      </c>
      <c r="G57" s="19">
        <f>F57*G47</f>
        <v>1530000</v>
      </c>
      <c r="H57" s="16"/>
      <c r="I57" s="19">
        <f>D57+G57</f>
        <v>3105000</v>
      </c>
    </row>
    <row r="58" spans="1:9" ht="8.1" customHeight="1" thickTop="1" x14ac:dyDescent="0.25">
      <c r="A58" s="2"/>
      <c r="C58" s="11"/>
      <c r="D58" s="16"/>
      <c r="E58" s="16"/>
      <c r="F58" s="16"/>
      <c r="G58" s="16"/>
      <c r="H58" s="16"/>
      <c r="I58" s="16"/>
    </row>
    <row r="59" spans="1:9" ht="20.100000000000001" customHeight="1" x14ac:dyDescent="0.25">
      <c r="A59" s="7" t="s">
        <v>108</v>
      </c>
      <c r="C59" s="145" t="s">
        <v>15</v>
      </c>
      <c r="D59" s="145"/>
      <c r="E59" s="28"/>
      <c r="F59" s="145" t="s">
        <v>16</v>
      </c>
      <c r="G59" s="145"/>
      <c r="H59" s="16"/>
      <c r="I59" s="16"/>
    </row>
    <row r="60" spans="1:9" ht="8.1" customHeight="1" x14ac:dyDescent="0.25">
      <c r="A60" s="7"/>
      <c r="C60" s="11"/>
      <c r="D60" s="16"/>
      <c r="E60" s="16"/>
      <c r="F60" s="16"/>
      <c r="G60" s="16"/>
      <c r="H60" s="16"/>
      <c r="I60" s="16"/>
    </row>
    <row r="61" spans="1:9" ht="20.100000000000001" customHeight="1" x14ac:dyDescent="0.25">
      <c r="A61" s="2" t="s">
        <v>156</v>
      </c>
      <c r="C61" s="13">
        <f>INPUTS!$F$20</f>
        <v>0.95</v>
      </c>
      <c r="D61" s="16">
        <f>ROUND($D$45*C61,0)</f>
        <v>332500</v>
      </c>
      <c r="E61" s="16"/>
      <c r="F61" s="13">
        <f>INPUTS!$F$20</f>
        <v>0.95</v>
      </c>
      <c r="G61" s="16">
        <f>ROUND($G$45*F61,0)</f>
        <v>570000</v>
      </c>
      <c r="H61" s="16"/>
      <c r="I61" s="16"/>
    </row>
    <row r="62" spans="1:9" ht="20.100000000000001" customHeight="1" x14ac:dyDescent="0.25">
      <c r="A62" s="2" t="s">
        <v>157</v>
      </c>
      <c r="D62" s="16">
        <f>D47</f>
        <v>315000</v>
      </c>
      <c r="E62" s="16"/>
      <c r="F62"/>
      <c r="G62" s="16">
        <f>G47</f>
        <v>510000</v>
      </c>
      <c r="H62" s="16"/>
      <c r="I62" s="16"/>
    </row>
    <row r="63" spans="1:9" ht="20.100000000000001" customHeight="1" x14ac:dyDescent="0.25">
      <c r="A63" s="2" t="s">
        <v>99</v>
      </c>
      <c r="D63" s="17">
        <f>D61-D62</f>
        <v>17500</v>
      </c>
      <c r="E63" s="16"/>
      <c r="F63"/>
      <c r="G63" s="17">
        <f>G61-G62</f>
        <v>60000</v>
      </c>
      <c r="H63" s="16"/>
      <c r="I63" s="16"/>
    </row>
    <row r="64" spans="1:9" ht="20.100000000000001" customHeight="1" x14ac:dyDescent="0.25">
      <c r="A64" s="2" t="s">
        <v>239</v>
      </c>
      <c r="C64" s="71">
        <f>INPUTS!$F$40</f>
        <v>5284</v>
      </c>
      <c r="D64" s="16">
        <f>C64</f>
        <v>5284</v>
      </c>
      <c r="E64" s="16"/>
      <c r="F64" s="71">
        <f>C64</f>
        <v>5284</v>
      </c>
      <c r="G64" s="16">
        <f>F64</f>
        <v>5284</v>
      </c>
      <c r="H64" s="16"/>
      <c r="I64" s="16"/>
    </row>
    <row r="65" spans="1:9" ht="20.100000000000001" customHeight="1" x14ac:dyDescent="0.25">
      <c r="A65" s="2" t="s">
        <v>166</v>
      </c>
      <c r="C65" s="13">
        <f>INPUTS!$F$41</f>
        <v>1.4999999999999999E-2</v>
      </c>
      <c r="D65" s="16">
        <f>ROUND($D$61*C65,0)</f>
        <v>4988</v>
      </c>
      <c r="E65" s="16"/>
      <c r="F65" s="13">
        <f>INPUTS!$F$41</f>
        <v>1.4999999999999999E-2</v>
      </c>
      <c r="G65" s="16">
        <f>ROUND($G$61*F65,0)</f>
        <v>8550</v>
      </c>
      <c r="H65" s="16"/>
      <c r="I65" s="16"/>
    </row>
    <row r="66" spans="1:9" ht="20.100000000000001" customHeight="1" thickBot="1" x14ac:dyDescent="0.3">
      <c r="A66" s="2" t="s">
        <v>107</v>
      </c>
      <c r="D66" s="18">
        <f>D63-D64-D65</f>
        <v>7228</v>
      </c>
      <c r="E66" s="16"/>
      <c r="F66"/>
      <c r="G66" s="18">
        <f>G63-G64-G65</f>
        <v>46166</v>
      </c>
      <c r="H66" s="16"/>
      <c r="I66" s="16"/>
    </row>
    <row r="67" spans="1:9" ht="9.9499999999999993" customHeight="1" thickTop="1" x14ac:dyDescent="0.25">
      <c r="A67" s="2"/>
      <c r="D67" s="16"/>
      <c r="E67" s="16"/>
      <c r="F67" s="16"/>
      <c r="G67" s="16"/>
      <c r="H67" s="16"/>
      <c r="I67" s="16"/>
    </row>
    <row r="68" spans="1:9" ht="20.100000000000001" customHeight="1" thickBot="1" x14ac:dyDescent="0.3">
      <c r="A68" s="2" t="s">
        <v>106</v>
      </c>
      <c r="C68" s="91">
        <f>INPUTS!$F$17</f>
        <v>1</v>
      </c>
      <c r="D68" s="19">
        <f>ROUND(C68*D66,0)</f>
        <v>7228</v>
      </c>
      <c r="E68" s="16"/>
      <c r="F68" s="91">
        <f>C68</f>
        <v>1</v>
      </c>
      <c r="G68" s="19">
        <f>ROUND(F68*G66,0)</f>
        <v>46166</v>
      </c>
      <c r="H68" s="16"/>
      <c r="I68" s="16"/>
    </row>
    <row r="69" spans="1:9" ht="20.100000000000001" customHeight="1" thickTop="1" thickBot="1" x14ac:dyDescent="0.3">
      <c r="A69" s="2" t="s">
        <v>163</v>
      </c>
      <c r="C69" s="34">
        <f>$D$41</f>
        <v>5</v>
      </c>
      <c r="D69" s="19">
        <f>ROUND(D68*C69,0)</f>
        <v>36140</v>
      </c>
      <c r="E69" s="16"/>
      <c r="F69" s="34">
        <f>$G$41</f>
        <v>3</v>
      </c>
      <c r="G69" s="19">
        <f>ROUND(G68*F69,0)</f>
        <v>138498</v>
      </c>
      <c r="H69" s="16"/>
      <c r="I69" s="19">
        <f>D69+G69</f>
        <v>174638</v>
      </c>
    </row>
    <row r="70" spans="1:9" ht="8.1" customHeight="1" thickTop="1" x14ac:dyDescent="0.25">
      <c r="A70" s="20"/>
      <c r="D70" s="1"/>
      <c r="E70" s="1"/>
      <c r="F70" s="1"/>
      <c r="G70" s="1"/>
      <c r="H70" s="1"/>
      <c r="I70" s="1"/>
    </row>
    <row r="71" spans="1:9" ht="9.9499999999999993" customHeight="1" x14ac:dyDescent="0.25">
      <c r="A71" s="8"/>
      <c r="B71" s="9"/>
      <c r="C71" s="9"/>
      <c r="D71" s="10"/>
      <c r="E71" s="10"/>
      <c r="F71" s="10"/>
      <c r="G71" s="10"/>
      <c r="H71" s="10"/>
      <c r="I71" s="10"/>
    </row>
    <row r="72" spans="1:9" ht="20.100000000000001" customHeight="1" x14ac:dyDescent="0.25">
      <c r="A72" s="7" t="s">
        <v>103</v>
      </c>
      <c r="D72" s="1"/>
      <c r="E72" s="1"/>
      <c r="F72" s="1"/>
      <c r="G72" s="1"/>
      <c r="H72" s="1"/>
      <c r="I72" s="1"/>
    </row>
    <row r="73" spans="1:9" ht="20.100000000000001" customHeight="1" x14ac:dyDescent="0.25">
      <c r="A73" s="7" t="s">
        <v>104</v>
      </c>
      <c r="C73" s="146" t="s">
        <v>17</v>
      </c>
      <c r="D73" s="146"/>
      <c r="E73" s="28"/>
      <c r="F73" s="146" t="s">
        <v>18</v>
      </c>
      <c r="G73" s="146"/>
      <c r="H73" s="28"/>
      <c r="I73" s="92" t="s">
        <v>19</v>
      </c>
    </row>
    <row r="74" spans="1:9" ht="8.1" customHeight="1" x14ac:dyDescent="0.25">
      <c r="A74" s="7"/>
      <c r="B74" s="7"/>
      <c r="C74" s="7"/>
      <c r="D74" s="7"/>
      <c r="E74" s="7"/>
      <c r="F74" s="7"/>
      <c r="G74" s="7"/>
      <c r="H74" s="7"/>
      <c r="I74" s="7"/>
    </row>
    <row r="75" spans="1:9" ht="20.100000000000001" customHeight="1" x14ac:dyDescent="0.25">
      <c r="A75" s="2" t="s">
        <v>132</v>
      </c>
      <c r="C75" s="30"/>
      <c r="D75" s="29">
        <f>INPUTS!$F$52</f>
        <v>350000</v>
      </c>
      <c r="E75" s="1"/>
      <c r="F75" s="1"/>
      <c r="G75" s="29">
        <f>INPUTS!$F$57</f>
        <v>520000</v>
      </c>
      <c r="H75" s="1"/>
      <c r="I75" s="1"/>
    </row>
    <row r="76" spans="1:9" ht="9.9499999999999993" customHeight="1" x14ac:dyDescent="0.25">
      <c r="A76" s="2"/>
      <c r="D76" s="1"/>
      <c r="E76" s="1"/>
      <c r="F76" s="1"/>
      <c r="G76" s="1"/>
      <c r="H76" s="1"/>
      <c r="I76" s="1"/>
    </row>
    <row r="77" spans="1:9" ht="20.100000000000001" customHeight="1" x14ac:dyDescent="0.25">
      <c r="A77" s="2"/>
      <c r="D77" s="1" t="s">
        <v>9</v>
      </c>
      <c r="E77" s="1"/>
      <c r="F77" s="1"/>
      <c r="G77" s="1" t="s">
        <v>10</v>
      </c>
      <c r="H77" s="1"/>
      <c r="I77" s="1" t="s">
        <v>11</v>
      </c>
    </row>
    <row r="78" spans="1:9" ht="20.100000000000001" customHeight="1" thickBot="1" x14ac:dyDescent="0.3">
      <c r="A78" s="2" t="s">
        <v>100</v>
      </c>
      <c r="B78" s="31">
        <f>G7</f>
        <v>37</v>
      </c>
      <c r="C78" s="13">
        <f>INPUTS!$F$46</f>
        <v>0.75</v>
      </c>
      <c r="D78" s="1">
        <f>ROUND($B$78*$C$78,0)</f>
        <v>28</v>
      </c>
      <c r="E78" s="1"/>
      <c r="F78" s="13">
        <f>1-C78</f>
        <v>0.25</v>
      </c>
      <c r="G78" s="1">
        <f>ROUND(B78-D78,0)</f>
        <v>9</v>
      </c>
      <c r="H78" s="1"/>
      <c r="I78" s="1">
        <f>D78+G78</f>
        <v>37</v>
      </c>
    </row>
    <row r="79" spans="1:9" ht="20.100000000000001" customHeight="1" thickTop="1" x14ac:dyDescent="0.25">
      <c r="A79" s="2" t="s">
        <v>177</v>
      </c>
      <c r="C79" s="13">
        <f>INPUTS!$F$47</f>
        <v>0.3</v>
      </c>
      <c r="D79" s="1">
        <f>-ROUND(D78*C79,0)</f>
        <v>-8</v>
      </c>
      <c r="E79" s="1"/>
      <c r="F79" s="13">
        <f>$C$79</f>
        <v>0.3</v>
      </c>
      <c r="G79" s="1">
        <f>-ROUND(G78*F79,0)</f>
        <v>-3</v>
      </c>
      <c r="H79" s="1"/>
      <c r="I79" s="1">
        <f>D79+G79</f>
        <v>-11</v>
      </c>
    </row>
    <row r="80" spans="1:9" ht="20.100000000000001" customHeight="1" x14ac:dyDescent="0.25">
      <c r="A80" s="2" t="s">
        <v>133</v>
      </c>
      <c r="B80" s="12"/>
      <c r="D80" s="3">
        <f>SUM(D78:D79)</f>
        <v>20</v>
      </c>
      <c r="E80" s="1"/>
      <c r="F80" s="3"/>
      <c r="G80" s="3">
        <f>SUM(G78:G79)</f>
        <v>6</v>
      </c>
      <c r="H80" s="1"/>
      <c r="I80" s="3">
        <f>SUM(I78:I79)</f>
        <v>26</v>
      </c>
    </row>
    <row r="81" spans="1:9" ht="20.100000000000001" customHeight="1" x14ac:dyDescent="0.25">
      <c r="A81" s="2" t="s">
        <v>178</v>
      </c>
      <c r="B81" s="12"/>
      <c r="C81" s="13">
        <f>INPUTS!$F$48</f>
        <v>0.06</v>
      </c>
      <c r="D81" s="1">
        <f>-ROUND(D80*C81,0)</f>
        <v>-1</v>
      </c>
      <c r="E81" s="1"/>
      <c r="F81" s="13">
        <f>$C$34</f>
        <v>0.06</v>
      </c>
      <c r="G81" s="1">
        <f>-ROUND(G80*F81,0)</f>
        <v>0</v>
      </c>
      <c r="H81" s="1"/>
      <c r="I81" s="1">
        <f>D81+G81</f>
        <v>-1</v>
      </c>
    </row>
    <row r="82" spans="1:9" ht="20.100000000000001" customHeight="1" x14ac:dyDescent="0.25">
      <c r="A82" s="2" t="s">
        <v>134</v>
      </c>
      <c r="B82" s="12"/>
      <c r="D82" s="3">
        <f>SUM(D80:D81)</f>
        <v>19</v>
      </c>
      <c r="E82" s="1"/>
      <c r="F82"/>
      <c r="G82" s="3">
        <f>SUM(G80:G81)</f>
        <v>6</v>
      </c>
      <c r="H82" s="1"/>
      <c r="I82" s="3">
        <f>SUM(I80:I81)</f>
        <v>25</v>
      </c>
    </row>
    <row r="83" spans="1:9" ht="20.100000000000001" customHeight="1" x14ac:dyDescent="0.25">
      <c r="A83" s="2" t="s">
        <v>129</v>
      </c>
      <c r="B83" s="12"/>
      <c r="C83" s="13">
        <f>INPUTS!$F$49</f>
        <v>0.02</v>
      </c>
      <c r="D83" s="1">
        <f>-ROUND(D82*C83,0)</f>
        <v>0</v>
      </c>
      <c r="E83" s="1"/>
      <c r="F83" s="13">
        <f>$C$36</f>
        <v>0.02</v>
      </c>
      <c r="G83" s="1">
        <f>-ROUND(G82*F83,0)</f>
        <v>0</v>
      </c>
      <c r="H83" s="1"/>
      <c r="I83" s="1">
        <f>D83+G83</f>
        <v>0</v>
      </c>
    </row>
    <row r="84" spans="1:9" ht="20.100000000000001" customHeight="1" x14ac:dyDescent="0.25">
      <c r="A84" s="2" t="s">
        <v>127</v>
      </c>
      <c r="B84" s="12"/>
      <c r="D84" s="3">
        <f>SUM(D82:D83)</f>
        <v>19</v>
      </c>
      <c r="E84" s="1"/>
      <c r="F84"/>
      <c r="G84" s="3">
        <f>SUM(G82:G83)</f>
        <v>6</v>
      </c>
      <c r="H84" s="1"/>
      <c r="I84" s="3">
        <f>SUM(I82:I83)</f>
        <v>25</v>
      </c>
    </row>
    <row r="85" spans="1:9" ht="20.100000000000001" customHeight="1" x14ac:dyDescent="0.25">
      <c r="A85" s="2" t="s">
        <v>164</v>
      </c>
      <c r="C85" s="13">
        <f>INPUTS!D50</f>
        <v>0</v>
      </c>
      <c r="D85" s="1">
        <f>-ROUND(D80*C85,0)</f>
        <v>0</v>
      </c>
      <c r="E85" s="1"/>
      <c r="F85" s="13">
        <f>$C$85</f>
        <v>0</v>
      </c>
      <c r="G85" s="1">
        <f>-ROUND(G80*F85,0)</f>
        <v>0</v>
      </c>
      <c r="H85" s="1"/>
      <c r="I85" s="1">
        <f>D85+G85</f>
        <v>0</v>
      </c>
    </row>
    <row r="86" spans="1:9" ht="20.100000000000001" customHeight="1" x14ac:dyDescent="0.25">
      <c r="A86" s="2" t="s">
        <v>201</v>
      </c>
      <c r="D86" s="3">
        <f>SUM(D84:D85)</f>
        <v>19</v>
      </c>
      <c r="E86" s="1"/>
      <c r="F86" s="3"/>
      <c r="G86" s="3">
        <f>SUM(G84:G85)</f>
        <v>6</v>
      </c>
      <c r="H86" s="1"/>
      <c r="I86" s="3">
        <f>SUM(I84:I85)</f>
        <v>25</v>
      </c>
    </row>
    <row r="87" spans="1:9" ht="20.100000000000001" customHeight="1" x14ac:dyDescent="0.25">
      <c r="A87" s="2" t="s">
        <v>165</v>
      </c>
      <c r="C87" s="13">
        <f>INPUTS!$F$62</f>
        <v>0</v>
      </c>
      <c r="D87" s="1">
        <f>-ROUND(D86*C87,0)</f>
        <v>0</v>
      </c>
      <c r="E87" s="1"/>
      <c r="F87" s="13">
        <f>$C$87</f>
        <v>0</v>
      </c>
      <c r="G87" s="1">
        <f>-ROUND(G86*F87,0)</f>
        <v>0</v>
      </c>
      <c r="H87" s="1"/>
      <c r="I87" s="1">
        <f>D87+G87</f>
        <v>0</v>
      </c>
    </row>
    <row r="88" spans="1:9" ht="20.100000000000001" customHeight="1" thickBot="1" x14ac:dyDescent="0.3">
      <c r="A88" s="2" t="s">
        <v>119</v>
      </c>
      <c r="D88" s="4">
        <f>SUM(D86:D87)</f>
        <v>19</v>
      </c>
      <c r="E88" s="1"/>
      <c r="F88" s="1"/>
      <c r="G88" s="4">
        <f>SUM(G86:G87)</f>
        <v>6</v>
      </c>
      <c r="H88" s="1"/>
      <c r="I88" s="4">
        <f>SUM(I86:I87)</f>
        <v>25</v>
      </c>
    </row>
    <row r="89" spans="1:9" ht="8.1" customHeight="1" thickTop="1" x14ac:dyDescent="0.25">
      <c r="A89" s="20"/>
      <c r="D89" s="1"/>
      <c r="E89" s="1"/>
      <c r="F89" s="1"/>
      <c r="G89" s="1"/>
      <c r="H89" s="1"/>
      <c r="I89" s="1"/>
    </row>
    <row r="90" spans="1:9" ht="20.100000000000001" customHeight="1" x14ac:dyDescent="0.25">
      <c r="A90" s="7" t="s">
        <v>105</v>
      </c>
      <c r="C90" s="146" t="s">
        <v>17</v>
      </c>
      <c r="D90" s="146"/>
      <c r="E90" s="28"/>
      <c r="F90" s="146" t="s">
        <v>18</v>
      </c>
      <c r="G90" s="146"/>
      <c r="H90" s="28"/>
      <c r="I90" s="92" t="s">
        <v>19</v>
      </c>
    </row>
    <row r="91" spans="1:9" ht="8.1" customHeight="1" x14ac:dyDescent="0.25">
      <c r="A91" s="7"/>
      <c r="D91"/>
      <c r="E91"/>
      <c r="F91"/>
      <c r="G91"/>
      <c r="H91"/>
      <c r="I91"/>
    </row>
    <row r="92" spans="1:9" ht="20.100000000000001" customHeight="1" x14ac:dyDescent="0.25">
      <c r="A92" s="2" t="s">
        <v>158</v>
      </c>
      <c r="D92" s="29">
        <f>INPUTS!$F$52</f>
        <v>350000</v>
      </c>
      <c r="E92"/>
      <c r="F92"/>
      <c r="G92" s="29">
        <f>INPUTS!$F$57</f>
        <v>520000</v>
      </c>
      <c r="H92"/>
      <c r="I92"/>
    </row>
    <row r="93" spans="1:9" ht="20.100000000000001" customHeight="1" x14ac:dyDescent="0.25">
      <c r="A93" s="2" t="s">
        <v>125</v>
      </c>
      <c r="D93" s="13">
        <f>INPUTS!$F$54</f>
        <v>0.85</v>
      </c>
      <c r="E93"/>
      <c r="F93"/>
      <c r="G93" s="13">
        <f>INPUTS!$F$59</f>
        <v>0.8</v>
      </c>
      <c r="H93"/>
      <c r="I93"/>
    </row>
    <row r="94" spans="1:9" ht="20.100000000000001" customHeight="1" x14ac:dyDescent="0.25">
      <c r="A94" s="2" t="s">
        <v>126</v>
      </c>
      <c r="D94" s="29">
        <f>ROUND(D92*D93,0)</f>
        <v>297500</v>
      </c>
      <c r="E94"/>
      <c r="F94"/>
      <c r="G94" s="29">
        <f>ROUND(G92*G93,0)</f>
        <v>416000</v>
      </c>
      <c r="H94"/>
      <c r="I94"/>
    </row>
    <row r="95" spans="1:9" ht="20.100000000000001" customHeight="1" thickBot="1" x14ac:dyDescent="0.3">
      <c r="A95" s="2" t="s">
        <v>97</v>
      </c>
      <c r="D95" s="31">
        <f>$D$86</f>
        <v>19</v>
      </c>
      <c r="E95"/>
      <c r="F95"/>
      <c r="G95" s="31">
        <f>G86</f>
        <v>6</v>
      </c>
      <c r="H95"/>
      <c r="I95"/>
    </row>
    <row r="96" spans="1:9" ht="8.1" customHeight="1" thickTop="1" x14ac:dyDescent="0.25">
      <c r="A96" s="2"/>
      <c r="D96"/>
      <c r="E96"/>
      <c r="F96"/>
      <c r="G96"/>
      <c r="H96"/>
      <c r="I96"/>
    </row>
    <row r="97" spans="1:9" ht="20.100000000000001" customHeight="1" thickBot="1" x14ac:dyDescent="0.3">
      <c r="A97" s="2" t="s">
        <v>202</v>
      </c>
      <c r="C97" s="122">
        <f>$D$86</f>
        <v>19</v>
      </c>
      <c r="D97" s="19">
        <f>$C$97*$D$92</f>
        <v>6650000</v>
      </c>
      <c r="E97"/>
      <c r="F97" s="122">
        <f>$G$86</f>
        <v>6</v>
      </c>
      <c r="G97" s="19">
        <f>$F$98*$G$92</f>
        <v>3120000</v>
      </c>
      <c r="H97" s="16"/>
      <c r="I97" s="19">
        <f>D97+G97</f>
        <v>9770000</v>
      </c>
    </row>
    <row r="98" spans="1:9" ht="20.100000000000001" customHeight="1" thickTop="1" thickBot="1" x14ac:dyDescent="0.3">
      <c r="A98" s="2" t="s">
        <v>123</v>
      </c>
      <c r="C98" s="93">
        <f>$D$86</f>
        <v>19</v>
      </c>
      <c r="D98" s="19">
        <f>C98*D94</f>
        <v>5652500</v>
      </c>
      <c r="E98" s="16"/>
      <c r="F98" s="93">
        <f>$G$86</f>
        <v>6</v>
      </c>
      <c r="G98" s="19">
        <f>F98*G94</f>
        <v>2496000</v>
      </c>
      <c r="H98" s="16"/>
      <c r="I98" s="19">
        <f>D98+G98</f>
        <v>8148500</v>
      </c>
    </row>
    <row r="99" spans="1:9" ht="20.100000000000001" customHeight="1" thickTop="1" thickBot="1" x14ac:dyDescent="0.3">
      <c r="A99" s="2" t="s">
        <v>124</v>
      </c>
      <c r="C99" s="93">
        <f>$D$88</f>
        <v>19</v>
      </c>
      <c r="D99" s="19">
        <f>C99*D94</f>
        <v>5652500</v>
      </c>
      <c r="E99" s="16"/>
      <c r="F99" s="93">
        <f>$G$88</f>
        <v>6</v>
      </c>
      <c r="G99" s="19">
        <f>F99*G94</f>
        <v>2496000</v>
      </c>
      <c r="H99" s="16"/>
      <c r="I99" s="19">
        <f>D99+G99</f>
        <v>8148500</v>
      </c>
    </row>
    <row r="100" spans="1:9" ht="8.1" customHeight="1" thickTop="1" x14ac:dyDescent="0.25">
      <c r="A100" s="2"/>
      <c r="C100" s="11"/>
      <c r="D100" s="16"/>
      <c r="E100" s="16"/>
      <c r="F100" s="16"/>
      <c r="G100" s="16"/>
      <c r="H100" s="16"/>
      <c r="I100" s="16"/>
    </row>
    <row r="101" spans="1:9" ht="20.100000000000001" customHeight="1" x14ac:dyDescent="0.25">
      <c r="A101" s="7" t="s">
        <v>105</v>
      </c>
      <c r="C101" s="11"/>
      <c r="D101" s="16"/>
      <c r="E101" s="16"/>
      <c r="F101" s="16"/>
      <c r="G101" s="16"/>
      <c r="H101" s="16"/>
      <c r="I101" s="16"/>
    </row>
    <row r="102" spans="1:9" ht="20.100000000000001" customHeight="1" x14ac:dyDescent="0.25">
      <c r="A102" s="2" t="s">
        <v>159</v>
      </c>
      <c r="C102" s="13">
        <f>INPUTS!$F$44</f>
        <v>0.95</v>
      </c>
      <c r="D102" s="16">
        <f>ROUND($D$45*C102,0)</f>
        <v>332500</v>
      </c>
      <c r="E102" s="16"/>
      <c r="F102" s="13">
        <f>$C$102</f>
        <v>0.95</v>
      </c>
      <c r="G102" s="16">
        <f>ROUND($G$45*F102,0)</f>
        <v>570000</v>
      </c>
      <c r="H102" s="16"/>
      <c r="I102" s="16"/>
    </row>
    <row r="103" spans="1:9" ht="20.100000000000001" customHeight="1" x14ac:dyDescent="0.25">
      <c r="A103" s="2" t="s">
        <v>160</v>
      </c>
      <c r="D103" s="16">
        <f>D94</f>
        <v>297500</v>
      </c>
      <c r="E103" s="16"/>
      <c r="F103"/>
      <c r="G103" s="16">
        <f>G94</f>
        <v>416000</v>
      </c>
      <c r="H103" s="16"/>
      <c r="I103" s="16"/>
    </row>
    <row r="104" spans="1:9" ht="20.100000000000001" customHeight="1" x14ac:dyDescent="0.25">
      <c r="A104" s="2" t="s">
        <v>3</v>
      </c>
      <c r="D104" s="17">
        <f>D102-D103</f>
        <v>35000</v>
      </c>
      <c r="E104" s="16"/>
      <c r="F104"/>
      <c r="G104" s="17">
        <f>G102-G103</f>
        <v>154000</v>
      </c>
      <c r="H104" s="16"/>
      <c r="I104" s="16"/>
    </row>
    <row r="105" spans="1:9" ht="20.100000000000001" customHeight="1" x14ac:dyDescent="0.25">
      <c r="A105" s="2" t="s">
        <v>238</v>
      </c>
      <c r="C105" s="71">
        <f>INPUTS!$F$63</f>
        <v>5284</v>
      </c>
      <c r="D105" s="16">
        <f>C105</f>
        <v>5284</v>
      </c>
      <c r="E105" s="16"/>
      <c r="F105" s="71">
        <f>C105</f>
        <v>5284</v>
      </c>
      <c r="G105" s="16">
        <f>F105</f>
        <v>5284</v>
      </c>
      <c r="H105" s="16"/>
      <c r="I105" s="16"/>
    </row>
    <row r="106" spans="1:9" ht="20.100000000000001" customHeight="1" x14ac:dyDescent="0.25">
      <c r="A106" s="2" t="s">
        <v>166</v>
      </c>
      <c r="C106" s="13">
        <f>INPUTS!$F$64</f>
        <v>1.4999999999999999E-2</v>
      </c>
      <c r="D106" s="16">
        <f>ROUND($D$102*C106,0)</f>
        <v>4988</v>
      </c>
      <c r="E106" s="16"/>
      <c r="F106" s="13">
        <f>$C$106</f>
        <v>1.4999999999999999E-2</v>
      </c>
      <c r="G106" s="16">
        <f>ROUND($G$102*F106,0)</f>
        <v>8550</v>
      </c>
      <c r="H106" s="16"/>
      <c r="I106" s="16"/>
    </row>
    <row r="107" spans="1:9" ht="20.100000000000001" customHeight="1" thickBot="1" x14ac:dyDescent="0.3">
      <c r="A107" s="2" t="s">
        <v>161</v>
      </c>
      <c r="D107" s="18">
        <f>D104-D105-D106</f>
        <v>24728</v>
      </c>
      <c r="E107" s="16"/>
      <c r="F107"/>
      <c r="G107" s="18">
        <f>G104-G105-G106</f>
        <v>140166</v>
      </c>
      <c r="H107" s="16"/>
      <c r="I107" s="16"/>
    </row>
    <row r="108" spans="1:9" ht="9.9499999999999993" customHeight="1" thickTop="1" x14ac:dyDescent="0.25">
      <c r="A108" s="2"/>
      <c r="D108" s="16"/>
      <c r="E108" s="16"/>
      <c r="F108" s="16"/>
      <c r="G108" s="16"/>
      <c r="H108" s="16"/>
      <c r="I108" s="16"/>
    </row>
    <row r="109" spans="1:9" ht="20.100000000000001" customHeight="1" thickBot="1" x14ac:dyDescent="0.3">
      <c r="A109" s="2" t="s">
        <v>4</v>
      </c>
      <c r="C109" s="91">
        <f>INPUTS!$F$17</f>
        <v>1</v>
      </c>
      <c r="D109" s="19">
        <f>ROUND(C109*D107,0)</f>
        <v>24728</v>
      </c>
      <c r="E109" s="16"/>
      <c r="F109" s="91">
        <f>$C$109</f>
        <v>1</v>
      </c>
      <c r="G109" s="19">
        <f>ROUND(F109*G107,0)</f>
        <v>140166</v>
      </c>
      <c r="H109" s="16"/>
      <c r="I109" s="16"/>
    </row>
    <row r="110" spans="1:9" ht="20.100000000000001" customHeight="1" thickTop="1" thickBot="1" x14ac:dyDescent="0.3">
      <c r="A110" s="2" t="s">
        <v>162</v>
      </c>
      <c r="C110" s="34">
        <f>$D$88</f>
        <v>19</v>
      </c>
      <c r="D110" s="19">
        <f>ROUND(D109*C110,0)</f>
        <v>469832</v>
      </c>
      <c r="E110" s="16"/>
      <c r="F110" s="34">
        <f>$G$88</f>
        <v>6</v>
      </c>
      <c r="G110" s="19">
        <f>ROUND(G109*F110,0)</f>
        <v>840996</v>
      </c>
      <c r="H110" s="16"/>
      <c r="I110" s="19">
        <f>D110+G110</f>
        <v>1310828</v>
      </c>
    </row>
    <row r="111" spans="1:9" ht="20.100000000000001" customHeight="1" thickTop="1" x14ac:dyDescent="0.25">
      <c r="A111" s="7"/>
      <c r="D111" s="1"/>
      <c r="E111" s="1"/>
      <c r="F111" s="1"/>
      <c r="G111" s="1"/>
      <c r="H111" s="1"/>
      <c r="I111" s="1"/>
    </row>
    <row r="112" spans="1:9" ht="8.1" customHeight="1" x14ac:dyDescent="0.25">
      <c r="A112" s="2"/>
      <c r="B112" s="38"/>
      <c r="C112" s="21"/>
      <c r="D112" s="16"/>
      <c r="E112" s="16"/>
      <c r="F112" s="16"/>
      <c r="G112" s="16"/>
      <c r="H112" s="16"/>
      <c r="I112" s="16"/>
    </row>
    <row r="113" spans="1:9" ht="9.9499999999999993" customHeight="1" x14ac:dyDescent="0.25">
      <c r="A113" s="8"/>
      <c r="B113" s="9"/>
      <c r="C113" s="9"/>
      <c r="D113" s="10"/>
      <c r="E113" s="10"/>
      <c r="F113" s="10"/>
      <c r="G113" s="10"/>
      <c r="H113" s="10"/>
      <c r="I113" s="10"/>
    </row>
    <row r="114" spans="1:9" ht="20.100000000000001" customHeight="1" x14ac:dyDescent="0.25">
      <c r="A114" s="7" t="s">
        <v>101</v>
      </c>
      <c r="B114" s="38"/>
      <c r="C114" s="21"/>
      <c r="D114" s="92" t="s">
        <v>184</v>
      </c>
      <c r="E114" s="16"/>
      <c r="F114" s="16"/>
      <c r="G114" s="92" t="s">
        <v>16</v>
      </c>
      <c r="H114" s="16"/>
      <c r="I114" s="16"/>
    </row>
    <row r="115" spans="1:9" ht="20.100000000000001" customHeight="1" x14ac:dyDescent="0.25">
      <c r="A115" s="2" t="s">
        <v>30</v>
      </c>
      <c r="B115" s="38"/>
      <c r="C115" s="21"/>
      <c r="D115" s="16">
        <f>D50</f>
        <v>3150</v>
      </c>
      <c r="E115" s="16"/>
      <c r="F115" s="16"/>
      <c r="G115" s="16">
        <f>G50</f>
        <v>5100</v>
      </c>
      <c r="H115" s="16"/>
      <c r="I115" s="16"/>
    </row>
    <row r="116" spans="1:9" ht="20.100000000000001" customHeight="1" x14ac:dyDescent="0.25">
      <c r="A116" s="56" t="s">
        <v>2</v>
      </c>
      <c r="B116" s="38"/>
      <c r="C116" s="21"/>
      <c r="D116" s="16">
        <f>D68</f>
        <v>7228</v>
      </c>
      <c r="E116" s="16"/>
      <c r="F116" s="16"/>
      <c r="G116" s="16">
        <f>G68</f>
        <v>46166</v>
      </c>
      <c r="H116" s="16"/>
      <c r="I116" s="16"/>
    </row>
    <row r="117" spans="1:9" ht="20.100000000000001" customHeight="1" thickBot="1" x14ac:dyDescent="0.3">
      <c r="A117" s="2"/>
      <c r="B117" s="38"/>
      <c r="C117" s="21"/>
      <c r="D117" s="18">
        <f>SUM(D115:D116)</f>
        <v>10378</v>
      </c>
      <c r="E117" s="16"/>
      <c r="F117" s="16"/>
      <c r="G117" s="18">
        <f>SUM(G115:G116)</f>
        <v>51266</v>
      </c>
      <c r="H117" s="16"/>
      <c r="I117" s="16"/>
    </row>
    <row r="118" spans="1:9" ht="8.1" customHeight="1" thickTop="1" x14ac:dyDescent="0.25">
      <c r="A118" s="2"/>
      <c r="B118" s="38"/>
      <c r="C118" s="21"/>
      <c r="D118" s="16"/>
      <c r="E118" s="16"/>
      <c r="F118" s="16"/>
      <c r="G118" s="16"/>
      <c r="H118" s="16"/>
      <c r="I118" s="16"/>
    </row>
    <row r="119" spans="1:9" ht="20.100000000000001" customHeight="1" thickBot="1" x14ac:dyDescent="0.3">
      <c r="A119" s="2" t="s">
        <v>1</v>
      </c>
      <c r="B119" s="38"/>
      <c r="C119" s="91">
        <f>INPUTS!D30</f>
        <v>0.9</v>
      </c>
      <c r="D119" s="19">
        <f>D47</f>
        <v>315000</v>
      </c>
      <c r="E119" s="16"/>
      <c r="F119" s="91">
        <f>INPUTS!$F$35</f>
        <v>0.85</v>
      </c>
      <c r="G119" s="19">
        <f>G47</f>
        <v>510000</v>
      </c>
      <c r="H119" s="16"/>
      <c r="I119" s="16"/>
    </row>
    <row r="120" spans="1:9" ht="8.1" customHeight="1" thickTop="1" x14ac:dyDescent="0.25">
      <c r="A120" s="2"/>
      <c r="B120" s="38"/>
      <c r="C120" s="21"/>
      <c r="D120" s="16"/>
      <c r="E120" s="16"/>
      <c r="F120" s="16"/>
      <c r="G120" s="16"/>
      <c r="H120" s="16"/>
      <c r="I120" s="16"/>
    </row>
    <row r="121" spans="1:9" ht="20.100000000000001" hidden="1" customHeight="1" thickBot="1" x14ac:dyDescent="0.3">
      <c r="A121" s="2" t="s">
        <v>31</v>
      </c>
      <c r="B121" s="38"/>
      <c r="C121" s="21"/>
      <c r="D121" s="69">
        <f>ROUND(D117/D119,4)</f>
        <v>3.2899999999999999E-2</v>
      </c>
      <c r="E121" s="16"/>
      <c r="F121" s="16"/>
      <c r="G121" s="69">
        <f>ROUND(G117/G119,4)</f>
        <v>0.10050000000000001</v>
      </c>
      <c r="H121" s="16"/>
      <c r="I121" s="16"/>
    </row>
    <row r="122" spans="1:9" ht="20.100000000000001" customHeight="1" thickBot="1" x14ac:dyDescent="0.3">
      <c r="A122" s="2" t="s">
        <v>32</v>
      </c>
      <c r="B122" s="38"/>
      <c r="C122" s="21"/>
      <c r="D122" s="69">
        <f>ROUND(D121*52/20,4)</f>
        <v>8.5500000000000007E-2</v>
      </c>
      <c r="E122" s="16"/>
      <c r="F122" s="16"/>
      <c r="G122" s="69">
        <f>ROUND(G121*52/20,4)</f>
        <v>0.26129999999999998</v>
      </c>
      <c r="H122" s="16"/>
      <c r="I122" s="16"/>
    </row>
    <row r="123" spans="1:9" ht="20.100000000000001" customHeight="1" thickTop="1" x14ac:dyDescent="0.25">
      <c r="A123" s="2"/>
      <c r="B123" s="38"/>
      <c r="C123" s="21"/>
      <c r="D123" s="16"/>
      <c r="E123" s="16"/>
      <c r="F123" s="16"/>
      <c r="G123" s="16"/>
      <c r="H123" s="16"/>
      <c r="I123" s="16"/>
    </row>
    <row r="124" spans="1:9" ht="9.9499999999999993" customHeight="1" x14ac:dyDescent="0.25">
      <c r="A124" s="8"/>
      <c r="B124" s="9"/>
      <c r="C124" s="9"/>
      <c r="D124" s="10"/>
      <c r="E124" s="10"/>
      <c r="F124" s="10"/>
      <c r="G124" s="10"/>
      <c r="H124" s="10"/>
      <c r="I124" s="10"/>
    </row>
    <row r="125" spans="1:9" ht="20.100000000000001" customHeight="1" x14ac:dyDescent="0.25">
      <c r="A125" s="2" t="s">
        <v>77</v>
      </c>
      <c r="B125" s="38"/>
      <c r="C125" s="21"/>
      <c r="D125" s="92" t="s">
        <v>205</v>
      </c>
      <c r="E125" s="16"/>
      <c r="F125" s="16"/>
      <c r="G125" s="92" t="s">
        <v>204</v>
      </c>
      <c r="H125" s="16"/>
      <c r="I125" s="16"/>
    </row>
    <row r="126" spans="1:9" ht="20.100000000000001" customHeight="1" x14ac:dyDescent="0.25">
      <c r="A126" s="2" t="s">
        <v>78</v>
      </c>
      <c r="B126" s="38"/>
      <c r="C126" s="34">
        <f>C57</f>
        <v>5</v>
      </c>
      <c r="D126" s="16">
        <f>D57</f>
        <v>1575000</v>
      </c>
      <c r="E126" s="16"/>
      <c r="F126" s="34">
        <f>$C$55</f>
        <v>5</v>
      </c>
      <c r="G126" s="16">
        <f>$C$55*$D$45</f>
        <v>1750000</v>
      </c>
      <c r="H126" s="16"/>
      <c r="I126" s="16"/>
    </row>
    <row r="127" spans="1:9" ht="20.100000000000001" customHeight="1" x14ac:dyDescent="0.25">
      <c r="A127" s="2" t="s">
        <v>79</v>
      </c>
      <c r="B127" s="38"/>
      <c r="C127" s="34">
        <f>F57</f>
        <v>3</v>
      </c>
      <c r="D127" s="16">
        <f>G57</f>
        <v>1530000</v>
      </c>
      <c r="E127" s="16"/>
      <c r="F127" s="34">
        <f>$F$55</f>
        <v>3</v>
      </c>
      <c r="G127" s="16">
        <f>$F$55*$G$45</f>
        <v>1800000</v>
      </c>
      <c r="H127" s="16"/>
      <c r="I127" s="16"/>
    </row>
    <row r="128" spans="1:9" ht="20.100000000000001" customHeight="1" x14ac:dyDescent="0.25">
      <c r="A128" s="2" t="s">
        <v>80</v>
      </c>
      <c r="B128" s="38"/>
      <c r="C128" s="34">
        <f>C99</f>
        <v>19</v>
      </c>
      <c r="D128" s="16">
        <f>D99</f>
        <v>5652500</v>
      </c>
      <c r="E128" s="16"/>
      <c r="F128" s="34">
        <f>$C$97</f>
        <v>19</v>
      </c>
      <c r="G128" s="16">
        <f>$C$97*$D$92</f>
        <v>6650000</v>
      </c>
      <c r="H128" s="16"/>
      <c r="I128" s="16"/>
    </row>
    <row r="129" spans="1:9" ht="20.100000000000001" customHeight="1" x14ac:dyDescent="0.25">
      <c r="A129" s="2" t="s">
        <v>81</v>
      </c>
      <c r="B129" s="38"/>
      <c r="C129" s="34">
        <f>F99</f>
        <v>6</v>
      </c>
      <c r="D129" s="16">
        <f>G99</f>
        <v>2496000</v>
      </c>
      <c r="E129" s="16"/>
      <c r="F129" s="34">
        <f>$F$97</f>
        <v>6</v>
      </c>
      <c r="G129" s="16">
        <f>$F$97*$G$92</f>
        <v>3120000</v>
      </c>
      <c r="H129" s="16"/>
      <c r="I129" s="16"/>
    </row>
    <row r="130" spans="1:9" ht="20.100000000000001" customHeight="1" thickBot="1" x14ac:dyDescent="0.3">
      <c r="A130" s="2" t="s">
        <v>11</v>
      </c>
      <c r="B130" s="38"/>
      <c r="C130" s="35">
        <f>SUM(C126:C129)</f>
        <v>33</v>
      </c>
      <c r="D130" s="18">
        <f>SUM(D126:D129)</f>
        <v>11253500</v>
      </c>
      <c r="E130" s="16"/>
      <c r="F130" s="35">
        <f>SUM(F126:F129)</f>
        <v>33</v>
      </c>
      <c r="G130" s="18">
        <f>SUM(G126:G129)</f>
        <v>13320000</v>
      </c>
      <c r="H130" s="16"/>
      <c r="I130" s="16"/>
    </row>
    <row r="131" spans="1:9" ht="20.100000000000001" customHeight="1" thickTop="1" thickBot="1" x14ac:dyDescent="0.3">
      <c r="A131" s="2" t="s">
        <v>82</v>
      </c>
      <c r="B131" s="38"/>
      <c r="C131" s="21"/>
      <c r="D131" s="110">
        <f>ROUND(D130/C130,0)</f>
        <v>341015</v>
      </c>
      <c r="E131" s="16"/>
      <c r="F131" s="16"/>
      <c r="G131" s="110">
        <f>ROUND(G130/F130,0)</f>
        <v>403636</v>
      </c>
      <c r="H131" s="16"/>
      <c r="I131" s="16"/>
    </row>
    <row r="132" spans="1:9" ht="20.100000000000001" customHeight="1" thickTop="1" x14ac:dyDescent="0.25">
      <c r="A132" s="102"/>
      <c r="B132" s="38"/>
      <c r="C132" s="21"/>
      <c r="D132" s="16"/>
      <c r="E132" s="16"/>
      <c r="F132" s="16"/>
      <c r="G132" s="16"/>
      <c r="H132" s="16"/>
      <c r="I132" s="16"/>
    </row>
    <row r="133" spans="1:9" ht="20.100000000000001" customHeight="1" thickBot="1" x14ac:dyDescent="0.3">
      <c r="A133" s="103" t="s">
        <v>185</v>
      </c>
      <c r="B133" s="21"/>
      <c r="C133" s="93">
        <f>ROUND(C130/3,0)</f>
        <v>11</v>
      </c>
      <c r="D133" s="19">
        <f>ROUND(D131*C133,0)</f>
        <v>3751165</v>
      </c>
      <c r="E133" s="16"/>
      <c r="F133" s="93">
        <f>ROUND(F130/3,0)</f>
        <v>11</v>
      </c>
      <c r="G133" s="19">
        <f>ROUND(G131*F133,0)</f>
        <v>4439996</v>
      </c>
      <c r="H133" s="16"/>
      <c r="I133" s="16"/>
    </row>
    <row r="134" spans="1:9" ht="8.1" customHeight="1" thickTop="1" x14ac:dyDescent="0.25"/>
    <row r="135" spans="1:9" ht="9.9499999999999993" customHeight="1" x14ac:dyDescent="0.25">
      <c r="A135" s="8"/>
      <c r="B135" s="9"/>
      <c r="C135" s="9"/>
      <c r="D135" s="10"/>
      <c r="E135" s="10"/>
      <c r="F135" s="10"/>
      <c r="G135" s="10"/>
      <c r="H135" s="10"/>
      <c r="I135" s="10"/>
    </row>
    <row r="232" spans="1:2" x14ac:dyDescent="0.25">
      <c r="B232" s="51"/>
    </row>
    <row r="233" spans="1:2" x14ac:dyDescent="0.25">
      <c r="B233" s="51"/>
    </row>
    <row r="234" spans="1:2" x14ac:dyDescent="0.25">
      <c r="B234" s="51"/>
    </row>
    <row r="235" spans="1:2" x14ac:dyDescent="0.25">
      <c r="A235" s="42"/>
      <c r="B235" s="52"/>
    </row>
    <row r="236" spans="1:2" x14ac:dyDescent="0.25">
      <c r="A236" s="42"/>
      <c r="B236" s="52"/>
    </row>
    <row r="237" spans="1:2" x14ac:dyDescent="0.25">
      <c r="A237" s="42"/>
      <c r="B237" s="52"/>
    </row>
    <row r="238" spans="1:2" x14ac:dyDescent="0.25">
      <c r="A238" s="42"/>
      <c r="B238" s="52"/>
    </row>
    <row r="239" spans="1:2" x14ac:dyDescent="0.25">
      <c r="A239" s="43"/>
      <c r="B239" s="52"/>
    </row>
    <row r="240" spans="1:2" x14ac:dyDescent="0.25">
      <c r="A240" s="42"/>
      <c r="B240" s="52"/>
    </row>
    <row r="241" spans="1:2" x14ac:dyDescent="0.25">
      <c r="A241" s="42"/>
      <c r="B241" s="52"/>
    </row>
    <row r="242" spans="1:2" x14ac:dyDescent="0.25">
      <c r="A242" s="42"/>
      <c r="B242" s="52"/>
    </row>
    <row r="243" spans="1:2" x14ac:dyDescent="0.25">
      <c r="A243" s="42"/>
      <c r="B243" s="52"/>
    </row>
    <row r="244" spans="1:2" x14ac:dyDescent="0.25">
      <c r="A244" s="43"/>
      <c r="B244" s="52"/>
    </row>
    <row r="245" spans="1:2" x14ac:dyDescent="0.25">
      <c r="A245" s="42"/>
      <c r="B245" s="52"/>
    </row>
    <row r="246" spans="1:2" x14ac:dyDescent="0.25">
      <c r="A246" s="42"/>
      <c r="B246" s="52"/>
    </row>
    <row r="247" spans="1:2" x14ac:dyDescent="0.25">
      <c r="A247" s="49"/>
      <c r="B247" s="52"/>
    </row>
    <row r="248" spans="1:2" x14ac:dyDescent="0.25">
      <c r="B248" s="52"/>
    </row>
    <row r="249" spans="1:2" x14ac:dyDescent="0.25">
      <c r="A249" s="42"/>
      <c r="B249" s="52"/>
    </row>
    <row r="250" spans="1:2" x14ac:dyDescent="0.25">
      <c r="A250" s="41"/>
      <c r="B250" s="52"/>
    </row>
    <row r="251" spans="1:2" x14ac:dyDescent="0.25">
      <c r="A251" s="43"/>
      <c r="B251" s="52"/>
    </row>
    <row r="252" spans="1:2" x14ac:dyDescent="0.25">
      <c r="A252" s="42"/>
      <c r="B252" s="52"/>
    </row>
    <row r="253" spans="1:2" x14ac:dyDescent="0.25">
      <c r="A253" s="41"/>
      <c r="B253" s="53"/>
    </row>
    <row r="254" spans="1:2" x14ac:dyDescent="0.25">
      <c r="A254" s="44"/>
      <c r="B254" s="54"/>
    </row>
    <row r="255" spans="1:2" x14ac:dyDescent="0.25">
      <c r="A255" s="44"/>
      <c r="B255" s="50"/>
    </row>
    <row r="256" spans="1:2" x14ac:dyDescent="0.25">
      <c r="B256" s="55"/>
    </row>
  </sheetData>
  <sheetProtection algorithmName="SHA-512" hashValue="gmqmEJYrheyEuN98W05rT8BPQtItY7bMVh37VfEyWatzCoX0vvefsgAoGIC3TjMwdnQrNek7ttEYdxAJ6Zlrnw==" saltValue="ifVe3AjdXADr7k6BE1m9Tg==" spinCount="100000" sheet="1" selectLockedCells="1" selectUnlockedCells="1"/>
  <protectedRanges>
    <protectedRange sqref="A235:A246 B237:B255 A251:A253 B235 A249" name="Range8_1"/>
  </protectedRanges>
  <mergeCells count="15">
    <mergeCell ref="C90:D90"/>
    <mergeCell ref="F90:G90"/>
    <mergeCell ref="A1:I1"/>
    <mergeCell ref="C43:D43"/>
    <mergeCell ref="F43:G43"/>
    <mergeCell ref="C59:D59"/>
    <mergeCell ref="F59:G59"/>
    <mergeCell ref="C73:D73"/>
    <mergeCell ref="F73:G73"/>
    <mergeCell ref="C3:D3"/>
    <mergeCell ref="F3:G3"/>
    <mergeCell ref="C10:D10"/>
    <mergeCell ref="F10:G10"/>
    <mergeCell ref="C27:D27"/>
    <mergeCell ref="F27:G27"/>
  </mergeCells>
  <conditionalFormatting sqref="B73:C73 E73:F73 H73">
    <cfRule type="cellIs" dxfId="71" priority="75" operator="equal">
      <formula>0</formula>
    </cfRule>
  </conditionalFormatting>
  <conditionalFormatting sqref="B66:G66">
    <cfRule type="cellIs" dxfId="70" priority="81" operator="equal">
      <formula>0</formula>
    </cfRule>
  </conditionalFormatting>
  <conditionalFormatting sqref="B107:G107">
    <cfRule type="cellIs" dxfId="69"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68" priority="89" operator="equal">
      <formula>0</formula>
    </cfRule>
  </conditionalFormatting>
  <conditionalFormatting sqref="B12:I12">
    <cfRule type="cellIs" dxfId="67" priority="70" operator="equal">
      <formula>0</formula>
    </cfRule>
  </conditionalFormatting>
  <conditionalFormatting sqref="B23:I31">
    <cfRule type="cellIs" dxfId="66" priority="58" operator="equal">
      <formula>0</formula>
    </cfRule>
  </conditionalFormatting>
  <conditionalFormatting sqref="B36:I37">
    <cfRule type="cellIs" dxfId="65" priority="34" operator="equal">
      <formula>0</formula>
    </cfRule>
  </conditionalFormatting>
  <conditionalFormatting sqref="B75:I77">
    <cfRule type="cellIs" dxfId="64" priority="79" operator="equal">
      <formula>0</formula>
    </cfRule>
  </conditionalFormatting>
  <conditionalFormatting sqref="B80:I84">
    <cfRule type="cellIs" dxfId="63" priority="28" operator="equal">
      <formula>0</formula>
    </cfRule>
  </conditionalFormatting>
  <conditionalFormatting sqref="B113:I113">
    <cfRule type="cellIs" dxfId="62" priority="57" operator="equal">
      <formula>0</formula>
    </cfRule>
  </conditionalFormatting>
  <conditionalFormatting sqref="B124:I124">
    <cfRule type="cellIs" dxfId="61" priority="52" operator="equal">
      <formula>0</formula>
    </cfRule>
  </conditionalFormatting>
  <conditionalFormatting sqref="B135:I135">
    <cfRule type="cellIs" dxfId="60" priority="38" operator="equal">
      <formula>0</formula>
    </cfRule>
  </conditionalFormatting>
  <conditionalFormatting sqref="B232:I1048576">
    <cfRule type="cellIs" dxfId="59" priority="71" operator="equal">
      <formula>0</formula>
    </cfRule>
  </conditionalFormatting>
  <conditionalFormatting sqref="C10">
    <cfRule type="cellIs" dxfId="58" priority="37" operator="equal">
      <formula>0</formula>
    </cfRule>
  </conditionalFormatting>
  <conditionalFormatting sqref="C27:C28 H27:H28">
    <cfRule type="cellIs" dxfId="57" priority="76" operator="equal">
      <formula>0</formula>
    </cfRule>
  </conditionalFormatting>
  <conditionalFormatting sqref="C59 E59:F59">
    <cfRule type="cellIs" dxfId="56" priority="33" operator="equal">
      <formula>0</formula>
    </cfRule>
  </conditionalFormatting>
  <conditionalFormatting sqref="C114:C123">
    <cfRule type="cellIs" dxfId="55" priority="21" operator="equal">
      <formula>0</formula>
    </cfRule>
  </conditionalFormatting>
  <conditionalFormatting sqref="C125:C133">
    <cfRule type="cellIs" dxfId="54" priority="39" operator="equal">
      <formula>0</formula>
    </cfRule>
  </conditionalFormatting>
  <conditionalFormatting sqref="C53:D55">
    <cfRule type="cellIs" dxfId="53" priority="14" operator="equal">
      <formula>0</formula>
    </cfRule>
  </conditionalFormatting>
  <conditionalFormatting sqref="C79:D79 C85:D85 B86:D86 C87:D87 B88:D88 B89:G89 B90:C90 E90:F90 H90 B91:I96 H102:I107 D103:E103 B108:I108 C109:I110">
    <cfRule type="cellIs" dxfId="52" priority="80" operator="equal">
      <formula>0</formula>
    </cfRule>
  </conditionalFormatting>
  <conditionalFormatting sqref="C97:D97">
    <cfRule type="cellIs" dxfId="51" priority="9" operator="equal">
      <formula>0</formula>
    </cfRule>
  </conditionalFormatting>
  <conditionalFormatting sqref="C61:F61">
    <cfRule type="cellIs" dxfId="50" priority="50" operator="equal">
      <formula>0</formula>
    </cfRule>
  </conditionalFormatting>
  <conditionalFormatting sqref="C64:G65">
    <cfRule type="cellIs" dxfId="49" priority="46" operator="equal">
      <formula>0</formula>
    </cfRule>
  </conditionalFormatting>
  <conditionalFormatting sqref="C102:G102 G103 B104:G104">
    <cfRule type="cellIs" dxfId="48" priority="78" operator="equal">
      <formula>0</formula>
    </cfRule>
  </conditionalFormatting>
  <conditionalFormatting sqref="C105:G106">
    <cfRule type="cellIs" dxfId="47" priority="42" operator="equal">
      <formula>0</formula>
    </cfRule>
  </conditionalFormatting>
  <conditionalFormatting sqref="C13:I22">
    <cfRule type="cellIs" dxfId="46" priority="17" operator="equal">
      <formula>0</formula>
    </cfRule>
  </conditionalFormatting>
  <conditionalFormatting sqref="D115:D123">
    <cfRule type="cellIs" dxfId="45" priority="53" operator="equal">
      <formula>0</formula>
    </cfRule>
  </conditionalFormatting>
  <conditionalFormatting sqref="D126:G133">
    <cfRule type="cellIs" dxfId="44" priority="2" operator="equal">
      <formula>0</formula>
    </cfRule>
  </conditionalFormatting>
  <conditionalFormatting sqref="E10:F10">
    <cfRule type="cellIs" dxfId="43" priority="36" operator="equal">
      <formula>0</formula>
    </cfRule>
  </conditionalFormatting>
  <conditionalFormatting sqref="E114:F122">
    <cfRule type="cellIs" dxfId="42" priority="20" operator="equal">
      <formula>0</formula>
    </cfRule>
  </conditionalFormatting>
  <conditionalFormatting sqref="E125:F125">
    <cfRule type="cellIs" dxfId="41" priority="1" operator="equal">
      <formula>0</formula>
    </cfRule>
  </conditionalFormatting>
  <conditionalFormatting sqref="F53:I55">
    <cfRule type="cellIs" dxfId="40" priority="12" operator="equal">
      <formula>0</formula>
    </cfRule>
  </conditionalFormatting>
  <conditionalFormatting sqref="F97:I97">
    <cfRule type="cellIs" dxfId="39" priority="7" operator="equal">
      <formula>0</formula>
    </cfRule>
  </conditionalFormatting>
  <conditionalFormatting sqref="G61:G62 B63:G63">
    <cfRule type="cellIs" dxfId="38" priority="82" operator="equal">
      <formula>0</formula>
    </cfRule>
  </conditionalFormatting>
  <conditionalFormatting sqref="G115:G122">
    <cfRule type="cellIs" dxfId="37" priority="22" operator="equal">
      <formula>0</formula>
    </cfRule>
  </conditionalFormatting>
  <conditionalFormatting sqref="I5:I7">
    <cfRule type="cellIs" dxfId="36"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908FF-7D39-4755-BC0F-7DF814E9320B}">
  <dimension ref="A1:J256"/>
  <sheetViews>
    <sheetView zoomScale="115" zoomScaleNormal="115" workbookViewId="0">
      <pane ySplit="1" topLeftCell="A98" activePane="bottomLeft" state="frozen"/>
      <selection pane="bottomLeft" activeCell="A105" sqref="A105"/>
    </sheetView>
  </sheetViews>
  <sheetFormatPr defaultRowHeight="15" x14ac:dyDescent="0.25"/>
  <cols>
    <col min="1" max="1" width="88.42578125" customWidth="1"/>
    <col min="2" max="2" width="8.7109375" customWidth="1"/>
    <col min="3" max="3" width="10.140625" bestFit="1" customWidth="1"/>
    <col min="4" max="4" width="12.7109375" style="14" customWidth="1"/>
    <col min="5" max="5" width="2.28515625" style="14" customWidth="1"/>
    <col min="6" max="6" width="8.7109375" style="14" customWidth="1"/>
    <col min="7" max="7" width="12.7109375" style="14" customWidth="1"/>
    <col min="8" max="8" width="2.28515625" style="14" customWidth="1"/>
    <col min="9" max="9" width="12.7109375" style="14" customWidth="1"/>
  </cols>
  <sheetData>
    <row r="1" spans="1:9" ht="24.95" customHeight="1" x14ac:dyDescent="0.25">
      <c r="A1" s="148" t="s">
        <v>188</v>
      </c>
      <c r="B1" s="148"/>
      <c r="C1" s="148"/>
      <c r="D1" s="148"/>
      <c r="E1" s="148"/>
      <c r="F1" s="148"/>
      <c r="G1" s="148"/>
      <c r="H1" s="148"/>
      <c r="I1" s="148"/>
    </row>
    <row r="2" spans="1:9" ht="9.9499999999999993" customHeight="1" x14ac:dyDescent="0.25">
      <c r="A2" s="8"/>
      <c r="B2" s="9"/>
      <c r="C2" s="9"/>
      <c r="D2" s="10"/>
      <c r="E2" s="10"/>
      <c r="F2" s="10"/>
      <c r="G2" s="10"/>
      <c r="H2" s="10"/>
      <c r="I2" s="10"/>
    </row>
    <row r="3" spans="1:9" ht="20.100000000000001" customHeight="1" x14ac:dyDescent="0.25">
      <c r="A3" s="7" t="s">
        <v>0</v>
      </c>
      <c r="C3" s="144" t="s">
        <v>6</v>
      </c>
      <c r="D3" s="144"/>
      <c r="E3" s="33"/>
      <c r="F3" s="144" t="s">
        <v>7</v>
      </c>
      <c r="G3" s="144"/>
      <c r="H3" s="33"/>
    </row>
    <row r="4" spans="1:9" x14ac:dyDescent="0.25">
      <c r="A4" s="26" t="s">
        <v>8</v>
      </c>
      <c r="D4" s="24"/>
      <c r="E4" s="24"/>
      <c r="G4" s="24"/>
      <c r="H4" s="24"/>
      <c r="I4" s="24"/>
    </row>
    <row r="5" spans="1:9" ht="20.100000000000001" customHeight="1" x14ac:dyDescent="0.25">
      <c r="A5" s="27" t="s">
        <v>112</v>
      </c>
      <c r="D5" s="57">
        <f>INPUTS!$H$11</f>
        <v>210</v>
      </c>
      <c r="E5" s="1"/>
      <c r="G5" s="57">
        <f>INPUTS!$H$13</f>
        <v>90</v>
      </c>
      <c r="H5" s="1"/>
      <c r="I5" s="57">
        <f>D5+G5</f>
        <v>300</v>
      </c>
    </row>
    <row r="6" spans="1:9" ht="20.100000000000001" customHeight="1" x14ac:dyDescent="0.25">
      <c r="A6" s="2" t="s">
        <v>135</v>
      </c>
      <c r="C6" s="13">
        <f>INPUTS!$H$10</f>
        <v>0.7</v>
      </c>
      <c r="D6" s="1">
        <f>-ROUND(D5*C6,0)</f>
        <v>-147</v>
      </c>
      <c r="E6" s="1"/>
      <c r="F6" s="13">
        <f>C6</f>
        <v>0.7</v>
      </c>
      <c r="G6" s="1">
        <f>-ROUND(G5*F6,0)</f>
        <v>-63</v>
      </c>
      <c r="H6" s="1"/>
      <c r="I6" s="57">
        <f>D6+G6</f>
        <v>-210</v>
      </c>
    </row>
    <row r="7" spans="1:9" ht="20.100000000000001" customHeight="1" thickBot="1" x14ac:dyDescent="0.3">
      <c r="A7" s="2" t="s">
        <v>121</v>
      </c>
      <c r="B7" s="12"/>
      <c r="D7" s="4">
        <f>SUM(D5:D6)</f>
        <v>63</v>
      </c>
      <c r="E7" s="1"/>
      <c r="G7" s="4">
        <f>SUM(G5:G6)</f>
        <v>27</v>
      </c>
      <c r="H7" s="1"/>
      <c r="I7" s="57">
        <f>D7+G7</f>
        <v>90</v>
      </c>
    </row>
    <row r="8" spans="1:9" ht="8.1" customHeight="1" thickTop="1" x14ac:dyDescent="0.25">
      <c r="A8" s="2"/>
      <c r="B8" s="12"/>
      <c r="C8" s="12"/>
      <c r="D8" s="1"/>
      <c r="E8" s="1"/>
      <c r="F8" s="1"/>
      <c r="G8" s="25"/>
      <c r="H8" s="25"/>
      <c r="I8" s="25"/>
    </row>
    <row r="9" spans="1:9" ht="9.9499999999999993" customHeight="1" x14ac:dyDescent="0.25">
      <c r="A9" s="8"/>
      <c r="B9" s="9"/>
      <c r="C9" s="9"/>
      <c r="D9" s="10"/>
      <c r="E9" s="10"/>
      <c r="F9" s="10"/>
      <c r="G9" s="10"/>
      <c r="H9" s="10"/>
      <c r="I9" s="10"/>
    </row>
    <row r="10" spans="1:9" ht="20.100000000000001" customHeight="1" x14ac:dyDescent="0.25">
      <c r="A10" s="7" t="s">
        <v>5</v>
      </c>
      <c r="C10" s="146" t="s">
        <v>26</v>
      </c>
      <c r="D10" s="146"/>
      <c r="E10" s="1"/>
      <c r="F10" s="146" t="s">
        <v>27</v>
      </c>
      <c r="G10" s="146"/>
      <c r="H10" s="1"/>
      <c r="I10" s="36" t="s">
        <v>85</v>
      </c>
    </row>
    <row r="11" spans="1:9" ht="8.1" customHeight="1" x14ac:dyDescent="0.25">
      <c r="A11" s="7"/>
      <c r="D11"/>
      <c r="E11"/>
      <c r="F11"/>
      <c r="G11"/>
      <c r="H11"/>
      <c r="I11"/>
    </row>
    <row r="12" spans="1:9" ht="20.100000000000001" customHeight="1" x14ac:dyDescent="0.25">
      <c r="A12" s="2" t="s">
        <v>113</v>
      </c>
      <c r="D12" s="29">
        <f>INPUTS!$H$67</f>
        <v>8</v>
      </c>
      <c r="E12" s="1"/>
      <c r="F12"/>
      <c r="G12" s="29">
        <f>D12</f>
        <v>8</v>
      </c>
      <c r="H12" s="1"/>
      <c r="I12" s="1"/>
    </row>
    <row r="13" spans="1:9" ht="20.100000000000001" customHeight="1" thickBot="1" x14ac:dyDescent="0.3">
      <c r="A13" s="27" t="s">
        <v>111</v>
      </c>
      <c r="C13" s="93">
        <f>$D$5</f>
        <v>210</v>
      </c>
      <c r="D13" s="19">
        <f>ROUND(-$D$12*C13,0)</f>
        <v>-1680</v>
      </c>
      <c r="E13" s="1"/>
      <c r="F13" s="93">
        <f>$G$5</f>
        <v>90</v>
      </c>
      <c r="G13" s="19">
        <f>ROUND(-$G$12*F13,0)</f>
        <v>-720</v>
      </c>
      <c r="H13" s="1"/>
      <c r="I13" s="19">
        <f>D13+G13</f>
        <v>-2400</v>
      </c>
    </row>
    <row r="14" spans="1:9" ht="9.9499999999999993" customHeight="1" thickTop="1" x14ac:dyDescent="0.25">
      <c r="A14" s="2"/>
      <c r="D14" s="1"/>
      <c r="E14" s="1"/>
      <c r="F14" s="1"/>
      <c r="G14" s="1"/>
      <c r="H14" s="1"/>
      <c r="I14" s="1"/>
    </row>
    <row r="15" spans="1:9" ht="20.100000000000001" customHeight="1" x14ac:dyDescent="0.25">
      <c r="A15" s="2" t="s">
        <v>136</v>
      </c>
      <c r="D15" s="29">
        <f>INPUTS!$H$68</f>
        <v>340</v>
      </c>
      <c r="E15" s="1"/>
      <c r="F15"/>
      <c r="G15" s="29">
        <f>$D$15</f>
        <v>340</v>
      </c>
      <c r="H15" s="1"/>
      <c r="I15" s="1"/>
    </row>
    <row r="16" spans="1:9" ht="20.100000000000001" customHeight="1" x14ac:dyDescent="0.25">
      <c r="A16" s="27" t="s">
        <v>109</v>
      </c>
      <c r="C16" s="34">
        <f>$D$35+$G$35</f>
        <v>36</v>
      </c>
      <c r="D16" s="16">
        <f>ROUND($D$15*C16,0)</f>
        <v>12240</v>
      </c>
      <c r="E16" s="1"/>
      <c r="F16" s="34">
        <f>D82+G82</f>
        <v>15</v>
      </c>
      <c r="G16" s="16">
        <f>ROUND($D$15*F16,0)</f>
        <v>5100</v>
      </c>
      <c r="H16" s="1"/>
      <c r="I16" s="16">
        <f>D16+G16</f>
        <v>17340</v>
      </c>
    </row>
    <row r="17" spans="1:10" s="94" customFormat="1" ht="20.100000000000001" customHeight="1" x14ac:dyDescent="0.25">
      <c r="A17" s="27" t="s">
        <v>110</v>
      </c>
      <c r="C17" s="95">
        <f>$D$36+$G$36</f>
        <v>0</v>
      </c>
      <c r="D17" s="96">
        <f>ROUND($D$15*C17,0)</f>
        <v>0</v>
      </c>
      <c r="E17" s="97"/>
      <c r="F17" s="95">
        <f>$D$83+$G$83</f>
        <v>0</v>
      </c>
      <c r="G17" s="96">
        <f>ROUND($D$15*F17,0)</f>
        <v>0</v>
      </c>
      <c r="H17" s="97"/>
      <c r="I17" s="96">
        <f>D17+G17</f>
        <v>0</v>
      </c>
    </row>
    <row r="18" spans="1:10" s="94" customFormat="1" ht="20.100000000000001" customHeight="1" x14ac:dyDescent="0.25">
      <c r="A18" s="2" t="s">
        <v>129</v>
      </c>
      <c r="C18" s="95">
        <f>$D$36+$G$36</f>
        <v>0</v>
      </c>
      <c r="D18" s="96">
        <f>ROUND($D$15*C18,0)</f>
        <v>0</v>
      </c>
      <c r="E18" s="97"/>
      <c r="F18" s="95">
        <f>$D$83+$G$83</f>
        <v>0</v>
      </c>
      <c r="G18" s="96">
        <f>ROUND($D$15*F18,0)</f>
        <v>0</v>
      </c>
      <c r="H18" s="97"/>
      <c r="I18" s="96">
        <f>D18+G18</f>
        <v>0</v>
      </c>
    </row>
    <row r="19" spans="1:10" ht="20.100000000000001" customHeight="1" thickBot="1" x14ac:dyDescent="0.3">
      <c r="A19" s="27" t="s">
        <v>114</v>
      </c>
      <c r="C19" s="35">
        <f>SUM(C16:C18)</f>
        <v>36</v>
      </c>
      <c r="D19" s="18">
        <f>SUM(D16:D18)</f>
        <v>12240</v>
      </c>
      <c r="E19" s="1"/>
      <c r="F19" s="35">
        <f>SUM(F16:F18)</f>
        <v>15</v>
      </c>
      <c r="G19" s="18">
        <f>SUM(G16:G18)</f>
        <v>5100</v>
      </c>
      <c r="H19" s="1"/>
      <c r="I19" s="18">
        <f>SUM(I16:I18)</f>
        <v>17340</v>
      </c>
    </row>
    <row r="20" spans="1:10" ht="8.1" customHeight="1" thickTop="1" x14ac:dyDescent="0.25">
      <c r="A20" s="2"/>
      <c r="D20" s="1"/>
      <c r="E20" s="1"/>
      <c r="F20" s="1"/>
      <c r="G20" s="1"/>
      <c r="H20" s="1"/>
      <c r="I20" s="1"/>
    </row>
    <row r="21" spans="1:10" ht="20.100000000000001" customHeight="1" x14ac:dyDescent="0.25">
      <c r="A21" s="2" t="s">
        <v>115</v>
      </c>
      <c r="D21" s="29">
        <f>INPUTS!$H$69</f>
        <v>333</v>
      </c>
      <c r="E21" s="1"/>
      <c r="F21"/>
      <c r="G21" s="29">
        <f>D21</f>
        <v>333</v>
      </c>
      <c r="H21" s="1"/>
      <c r="I21" s="1"/>
      <c r="J21" s="23"/>
    </row>
    <row r="22" spans="1:10" ht="20.100000000000001" customHeight="1" thickBot="1" x14ac:dyDescent="0.3">
      <c r="A22" s="27" t="s">
        <v>116</v>
      </c>
      <c r="C22" s="34">
        <f>C19</f>
        <v>36</v>
      </c>
      <c r="D22" s="19">
        <f>ROUND(-$D$21*C22,0)</f>
        <v>-11988</v>
      </c>
      <c r="E22" s="1"/>
      <c r="F22" s="34">
        <f>F19</f>
        <v>15</v>
      </c>
      <c r="G22" s="19">
        <f>ROUND(-$G$21*F22,0)</f>
        <v>-4995</v>
      </c>
      <c r="H22" s="16"/>
      <c r="I22" s="19">
        <f>D22+G22</f>
        <v>-16983</v>
      </c>
    </row>
    <row r="23" spans="1:10" ht="8.1" customHeight="1" thickTop="1" x14ac:dyDescent="0.25">
      <c r="A23" s="2"/>
      <c r="D23"/>
      <c r="E23"/>
      <c r="F23"/>
      <c r="G23"/>
      <c r="H23"/>
      <c r="I23"/>
    </row>
    <row r="24" spans="1:10" ht="20.100000000000001" customHeight="1" thickBot="1" x14ac:dyDescent="0.3">
      <c r="A24" s="2" t="s">
        <v>88</v>
      </c>
      <c r="D24" s="19">
        <f>D13+D19+D22</f>
        <v>-1428</v>
      </c>
      <c r="E24" s="1"/>
      <c r="F24"/>
      <c r="G24" s="19">
        <f>G13+G19+G22</f>
        <v>-615</v>
      </c>
      <c r="H24" s="16"/>
      <c r="I24" s="19">
        <f>D24+G24</f>
        <v>-2043</v>
      </c>
    </row>
    <row r="25" spans="1:10" ht="8.1" customHeight="1" thickTop="1" x14ac:dyDescent="0.25">
      <c r="A25" s="2"/>
      <c r="D25" s="1"/>
      <c r="E25" s="1"/>
      <c r="F25" s="1"/>
      <c r="G25" s="1"/>
      <c r="H25" s="1"/>
      <c r="I25" s="1"/>
    </row>
    <row r="26" spans="1:10" ht="9.9499999999999993" customHeight="1" x14ac:dyDescent="0.25">
      <c r="A26" s="8"/>
      <c r="B26" s="9"/>
      <c r="C26" s="9"/>
      <c r="D26" s="10"/>
      <c r="E26" s="10"/>
      <c r="F26" s="10"/>
      <c r="G26" s="10"/>
      <c r="H26" s="10"/>
      <c r="I26" s="10"/>
    </row>
    <row r="27" spans="1:10" ht="20.100000000000001" customHeight="1" x14ac:dyDescent="0.25">
      <c r="A27" s="7" t="s">
        <v>101</v>
      </c>
      <c r="C27" s="146" t="s">
        <v>15</v>
      </c>
      <c r="D27" s="146"/>
      <c r="E27" s="1"/>
      <c r="F27" s="146" t="s">
        <v>16</v>
      </c>
      <c r="G27" s="146"/>
      <c r="H27" s="28"/>
      <c r="I27" s="92" t="s">
        <v>14</v>
      </c>
    </row>
    <row r="28" spans="1:10" ht="8.1" customHeight="1" x14ac:dyDescent="0.25">
      <c r="A28" s="7"/>
      <c r="D28"/>
      <c r="E28"/>
      <c r="F28"/>
      <c r="G28"/>
      <c r="H28"/>
      <c r="I28"/>
    </row>
    <row r="29" spans="1:10" ht="20.100000000000001" customHeight="1" x14ac:dyDescent="0.25">
      <c r="A29" s="2" t="s">
        <v>12</v>
      </c>
      <c r="C29" s="30"/>
      <c r="D29" s="29">
        <f>INPUTS!$H$28</f>
        <v>350000</v>
      </c>
      <c r="E29" s="1"/>
      <c r="F29" s="1"/>
      <c r="G29" s="29">
        <f>INPUTS!$H$33</f>
        <v>600000</v>
      </c>
      <c r="H29" s="1"/>
      <c r="I29" s="1"/>
    </row>
    <row r="30" spans="1:10" ht="9.9499999999999993" customHeight="1" x14ac:dyDescent="0.25">
      <c r="A30" s="2"/>
      <c r="D30" s="1"/>
      <c r="E30" s="1"/>
      <c r="F30" s="1"/>
      <c r="G30" s="1"/>
      <c r="H30" s="1"/>
      <c r="I30" s="1"/>
    </row>
    <row r="31" spans="1:10" ht="20.100000000000001" customHeight="1" thickBot="1" x14ac:dyDescent="0.3">
      <c r="A31" s="2" t="s">
        <v>89</v>
      </c>
      <c r="B31" s="31">
        <f>D7</f>
        <v>63</v>
      </c>
      <c r="C31" s="13">
        <f>INPUTS!$H$22</f>
        <v>0.5</v>
      </c>
      <c r="D31" s="1">
        <f>ROUND($B$31*$C$31,0)</f>
        <v>32</v>
      </c>
      <c r="E31" s="1"/>
      <c r="F31" s="13">
        <f>1-C31</f>
        <v>0.5</v>
      </c>
      <c r="G31" s="1">
        <f>B31-D31</f>
        <v>31</v>
      </c>
      <c r="H31" s="1"/>
      <c r="I31" s="1">
        <f>D31+G31</f>
        <v>63</v>
      </c>
    </row>
    <row r="32" spans="1:10" ht="20.100000000000001" customHeight="1" thickTop="1" x14ac:dyDescent="0.25">
      <c r="A32" s="2" t="s">
        <v>177</v>
      </c>
      <c r="C32" s="13">
        <f>INPUTS!$H$23</f>
        <v>0.4</v>
      </c>
      <c r="D32" s="1">
        <f>-ROUND(D31*C32,0)</f>
        <v>-13</v>
      </c>
      <c r="E32" s="1"/>
      <c r="F32" s="13">
        <f>$C$32</f>
        <v>0.4</v>
      </c>
      <c r="G32" s="1">
        <f>-ROUND(G31*F32,0)</f>
        <v>-12</v>
      </c>
      <c r="H32" s="1"/>
      <c r="I32" s="1">
        <f>D32+G32</f>
        <v>-25</v>
      </c>
    </row>
    <row r="33" spans="1:9" ht="20.100000000000001" customHeight="1" x14ac:dyDescent="0.25">
      <c r="A33" s="2" t="s">
        <v>137</v>
      </c>
      <c r="B33" s="12"/>
      <c r="D33" s="3">
        <f>SUM(D31:D32)</f>
        <v>19</v>
      </c>
      <c r="E33" s="1"/>
      <c r="F33" s="3"/>
      <c r="G33" s="3">
        <f>SUM(G31:G32)</f>
        <v>19</v>
      </c>
      <c r="H33" s="1"/>
      <c r="I33" s="3">
        <f>SUM(I31:I32)</f>
        <v>38</v>
      </c>
    </row>
    <row r="34" spans="1:9" ht="20.100000000000001" customHeight="1" x14ac:dyDescent="0.25">
      <c r="A34" s="2" t="s">
        <v>178</v>
      </c>
      <c r="B34" s="12"/>
      <c r="C34" s="13">
        <f>INPUTS!$H$24</f>
        <v>7.0000000000000007E-2</v>
      </c>
      <c r="D34" s="1">
        <f>-ROUND(D33*C34,0)</f>
        <v>-1</v>
      </c>
      <c r="E34" s="1"/>
      <c r="F34" s="13">
        <f>$C$34</f>
        <v>7.0000000000000007E-2</v>
      </c>
      <c r="G34" s="1">
        <f>-ROUND(G33*F34,0)</f>
        <v>-1</v>
      </c>
      <c r="H34" s="1"/>
      <c r="I34" s="1">
        <f>D34+G34</f>
        <v>-2</v>
      </c>
    </row>
    <row r="35" spans="1:9" ht="20.100000000000001" customHeight="1" x14ac:dyDescent="0.25">
      <c r="A35" s="2" t="s">
        <v>128</v>
      </c>
      <c r="B35" s="12"/>
      <c r="D35" s="3">
        <f>SUM(D33:D34)</f>
        <v>18</v>
      </c>
      <c r="E35" s="1"/>
      <c r="F35"/>
      <c r="G35" s="3">
        <f>SUM(G33:G34)</f>
        <v>18</v>
      </c>
      <c r="H35" s="1"/>
      <c r="I35" s="3">
        <f>SUM(I33:I34)</f>
        <v>36</v>
      </c>
    </row>
    <row r="36" spans="1:9" ht="20.100000000000001" customHeight="1" x14ac:dyDescent="0.25">
      <c r="A36" s="2" t="s">
        <v>129</v>
      </c>
      <c r="B36" s="12"/>
      <c r="C36" s="13">
        <f>INPUTS!$H$25</f>
        <v>0.02</v>
      </c>
      <c r="D36" s="1">
        <f>-ROUND(D35*C36,0)</f>
        <v>0</v>
      </c>
      <c r="E36" s="1"/>
      <c r="F36" s="13">
        <f>$C$36</f>
        <v>0.02</v>
      </c>
      <c r="G36" s="1">
        <f>-ROUND(G35*F36,0)</f>
        <v>0</v>
      </c>
      <c r="H36" s="1"/>
      <c r="I36" s="1">
        <f>D36+G36</f>
        <v>0</v>
      </c>
    </row>
    <row r="37" spans="1:9" ht="20.100000000000001" customHeight="1" x14ac:dyDescent="0.25">
      <c r="A37" s="2" t="s">
        <v>117</v>
      </c>
      <c r="B37" s="12"/>
      <c r="D37" s="3">
        <f>SUM(D35:D36)</f>
        <v>18</v>
      </c>
      <c r="E37" s="1"/>
      <c r="F37"/>
      <c r="G37" s="3">
        <f>SUM(G35:G36)</f>
        <v>18</v>
      </c>
      <c r="H37" s="1"/>
      <c r="I37" s="3">
        <f>SUM(I35:I36)</f>
        <v>36</v>
      </c>
    </row>
    <row r="38" spans="1:9" ht="20.100000000000001" customHeight="1" x14ac:dyDescent="0.25">
      <c r="A38" s="2" t="s">
        <v>118</v>
      </c>
      <c r="C38" s="13">
        <f>INPUTS!$H$26</f>
        <v>0.05</v>
      </c>
      <c r="D38" s="1">
        <f>-ROUND(D37*C38,0)</f>
        <v>-1</v>
      </c>
      <c r="E38" s="1"/>
      <c r="F38" s="13">
        <f>$C$38</f>
        <v>0.05</v>
      </c>
      <c r="G38" s="1">
        <f>-ROUND(G37*F38,0)</f>
        <v>-1</v>
      </c>
      <c r="H38" s="1"/>
      <c r="I38" s="1">
        <f>D38+G38</f>
        <v>-2</v>
      </c>
    </row>
    <row r="39" spans="1:9" ht="20.100000000000001" customHeight="1" x14ac:dyDescent="0.25">
      <c r="A39" s="2" t="s">
        <v>120</v>
      </c>
      <c r="D39" s="3">
        <f>SUM(D37:D38)</f>
        <v>17</v>
      </c>
      <c r="E39" s="1"/>
      <c r="F39" s="3"/>
      <c r="G39" s="3">
        <f>SUM(G37:G38)</f>
        <v>17</v>
      </c>
      <c r="H39" s="1"/>
      <c r="I39" s="3">
        <f>SUM(I37:I38)</f>
        <v>34</v>
      </c>
    </row>
    <row r="40" spans="1:9" ht="20.100000000000001" customHeight="1" x14ac:dyDescent="0.25">
      <c r="A40" s="2" t="s">
        <v>90</v>
      </c>
      <c r="C40" s="13">
        <f>INPUTS!$H$39</f>
        <v>0.75</v>
      </c>
      <c r="D40" s="1">
        <f>-ROUND(D39*C40,0)</f>
        <v>-13</v>
      </c>
      <c r="E40" s="1"/>
      <c r="F40" s="13">
        <f>$C$40</f>
        <v>0.75</v>
      </c>
      <c r="G40" s="1">
        <f>-ROUND(G39*F40,0)</f>
        <v>-13</v>
      </c>
      <c r="H40" s="1"/>
      <c r="I40" s="1">
        <f>D40+G40</f>
        <v>-26</v>
      </c>
    </row>
    <row r="41" spans="1:9" ht="20.100000000000001" customHeight="1" thickBot="1" x14ac:dyDescent="0.3">
      <c r="A41" s="2" t="s">
        <v>119</v>
      </c>
      <c r="D41" s="4">
        <f>SUM(D39:D40)</f>
        <v>4</v>
      </c>
      <c r="E41" s="1"/>
      <c r="F41" s="1"/>
      <c r="G41" s="4">
        <f>SUM(G39:G40)</f>
        <v>4</v>
      </c>
      <c r="H41" s="1"/>
      <c r="I41" s="4">
        <f>SUM(I39:I40)</f>
        <v>8</v>
      </c>
    </row>
    <row r="42" spans="1:9" ht="8.1" customHeight="1" thickTop="1" x14ac:dyDescent="0.25">
      <c r="A42" s="20"/>
      <c r="D42" s="1"/>
      <c r="E42" s="1"/>
      <c r="F42" s="1"/>
      <c r="G42" s="1"/>
      <c r="H42" s="1"/>
      <c r="I42" s="1"/>
    </row>
    <row r="43" spans="1:9" ht="20.100000000000001" customHeight="1" x14ac:dyDescent="0.25">
      <c r="A43" s="7" t="s">
        <v>102</v>
      </c>
      <c r="C43" s="145" t="s">
        <v>15</v>
      </c>
      <c r="D43" s="145"/>
      <c r="E43" s="28"/>
      <c r="F43" s="145" t="s">
        <v>16</v>
      </c>
      <c r="G43" s="145"/>
      <c r="H43" s="28"/>
      <c r="I43" s="36" t="s">
        <v>14</v>
      </c>
    </row>
    <row r="44" spans="1:9" ht="8.1" customHeight="1" x14ac:dyDescent="0.25">
      <c r="A44" s="7"/>
      <c r="D44"/>
      <c r="E44"/>
      <c r="F44"/>
      <c r="G44"/>
      <c r="H44"/>
      <c r="I44"/>
    </row>
    <row r="45" spans="1:9" ht="20.100000000000001" customHeight="1" x14ac:dyDescent="0.25">
      <c r="A45" s="2" t="s">
        <v>130</v>
      </c>
      <c r="D45" s="29">
        <f>$D$29</f>
        <v>350000</v>
      </c>
      <c r="E45"/>
      <c r="F45"/>
      <c r="G45" s="29">
        <f>G29</f>
        <v>600000</v>
      </c>
      <c r="H45"/>
      <c r="I45"/>
    </row>
    <row r="46" spans="1:9" ht="20.100000000000001" customHeight="1" x14ac:dyDescent="0.25">
      <c r="A46" s="2" t="s">
        <v>92</v>
      </c>
      <c r="D46" s="13">
        <f>INPUTS!$H$30</f>
        <v>0.9</v>
      </c>
      <c r="E46"/>
      <c r="F46"/>
      <c r="G46" s="13">
        <f>INPUTS!$H$35</f>
        <v>0.85</v>
      </c>
      <c r="H46"/>
      <c r="I46"/>
    </row>
    <row r="47" spans="1:9" ht="20.100000000000001" customHeight="1" x14ac:dyDescent="0.25">
      <c r="A47" s="2" t="s">
        <v>93</v>
      </c>
      <c r="D47" s="29">
        <f>ROUND(D45*D46,0)</f>
        <v>315000</v>
      </c>
      <c r="E47"/>
      <c r="F47"/>
      <c r="G47" s="29">
        <f>ROUND(G45*G46,0)</f>
        <v>510000</v>
      </c>
      <c r="H47"/>
      <c r="I47"/>
    </row>
    <row r="48" spans="1:9" ht="20.100000000000001" customHeight="1" thickBot="1" x14ac:dyDescent="0.3">
      <c r="A48" s="2" t="s">
        <v>131</v>
      </c>
      <c r="D48" s="31">
        <f>$D$31</f>
        <v>32</v>
      </c>
      <c r="E48"/>
      <c r="F48"/>
      <c r="G48" s="31">
        <f>$G$31</f>
        <v>31</v>
      </c>
      <c r="H48"/>
      <c r="I48"/>
    </row>
    <row r="49" spans="1:9" ht="20.100000000000001" customHeight="1" thickTop="1" x14ac:dyDescent="0.25">
      <c r="A49" s="2"/>
      <c r="D49"/>
      <c r="E49"/>
      <c r="F49"/>
      <c r="G49"/>
      <c r="H49"/>
      <c r="I49"/>
    </row>
    <row r="50" spans="1:9" ht="20.100000000000001" customHeight="1" thickBot="1" x14ac:dyDescent="0.3">
      <c r="A50" s="2" t="s">
        <v>94</v>
      </c>
      <c r="C50" s="58">
        <f>INPUTS!$H$38</f>
        <v>0.01</v>
      </c>
      <c r="D50" s="19">
        <f>ROUND($D$47*C50,0)</f>
        <v>3150</v>
      </c>
      <c r="E50" s="16"/>
      <c r="F50" s="58">
        <f>INPUTS!$H$38</f>
        <v>0.01</v>
      </c>
      <c r="G50" s="19">
        <f>ROUND($G$47*F50,0)</f>
        <v>5100</v>
      </c>
      <c r="H50" s="16"/>
      <c r="I50" s="16"/>
    </row>
    <row r="51" spans="1:9" ht="9.9499999999999993" customHeight="1" thickTop="1" x14ac:dyDescent="0.25">
      <c r="A51" s="2"/>
      <c r="B51" s="2"/>
      <c r="C51" s="2"/>
      <c r="D51" s="2"/>
      <c r="E51" s="2"/>
      <c r="F51" s="2"/>
      <c r="G51" s="2"/>
      <c r="H51" s="2"/>
      <c r="I51" s="16"/>
    </row>
    <row r="52" spans="1:9" ht="20.100000000000001" customHeight="1" x14ac:dyDescent="0.25">
      <c r="A52" s="2" t="s">
        <v>98</v>
      </c>
      <c r="C52" s="34">
        <f>$D$31</f>
        <v>32</v>
      </c>
      <c r="D52" s="16">
        <f>ROUND($D$50*C52,0)</f>
        <v>100800</v>
      </c>
      <c r="E52" s="16"/>
      <c r="F52" s="34">
        <f>$G$31</f>
        <v>31</v>
      </c>
      <c r="G52" s="16">
        <f>ROUND($G$50*F52,0)</f>
        <v>158100</v>
      </c>
      <c r="H52" s="16"/>
      <c r="I52" s="16">
        <f>D52+G52</f>
        <v>258900</v>
      </c>
    </row>
    <row r="53" spans="1:9" ht="20.100000000000001" customHeight="1" x14ac:dyDescent="0.25">
      <c r="A53" s="2" t="s">
        <v>13</v>
      </c>
      <c r="C53" s="34">
        <f>D38</f>
        <v>-1</v>
      </c>
      <c r="D53" s="16">
        <f>ROUND($D$50*C53,0)</f>
        <v>-3150</v>
      </c>
      <c r="E53"/>
      <c r="F53" s="34">
        <f>G38</f>
        <v>-1</v>
      </c>
      <c r="G53" s="16">
        <f>ROUND($G$50*F53,0)</f>
        <v>-5100</v>
      </c>
      <c r="H53" s="16"/>
      <c r="I53" s="16">
        <f>D53+G53</f>
        <v>-8250</v>
      </c>
    </row>
    <row r="54" spans="1:9" ht="20.100000000000001" customHeight="1" thickBot="1" x14ac:dyDescent="0.3">
      <c r="A54" s="2" t="s">
        <v>95</v>
      </c>
      <c r="C54" s="35">
        <f>SUM(C52:C53)</f>
        <v>31</v>
      </c>
      <c r="D54" s="18">
        <f>SUM(D52:D53)</f>
        <v>97650</v>
      </c>
      <c r="E54"/>
      <c r="F54" s="35">
        <f>SUM(F52:F53)</f>
        <v>30</v>
      </c>
      <c r="G54" s="18">
        <f>SUM(G52:G53)</f>
        <v>153000</v>
      </c>
      <c r="H54" s="16"/>
      <c r="I54" s="18">
        <f>SUM(I52:I53)</f>
        <v>250650</v>
      </c>
    </row>
    <row r="55" spans="1:9" ht="20.100000000000001" customHeight="1" thickTop="1" thickBot="1" x14ac:dyDescent="0.3">
      <c r="A55" s="2" t="s">
        <v>202</v>
      </c>
      <c r="C55" s="122">
        <f>$D$41</f>
        <v>4</v>
      </c>
      <c r="D55" s="19">
        <f>$D$45*$C$55</f>
        <v>1400000</v>
      </c>
      <c r="E55"/>
      <c r="F55" s="122">
        <f>$G$41</f>
        <v>4</v>
      </c>
      <c r="G55" s="19">
        <f>$G$45*$F$55</f>
        <v>2400000</v>
      </c>
      <c r="H55" s="16"/>
      <c r="I55" s="19">
        <f>D55+G55</f>
        <v>3800000</v>
      </c>
    </row>
    <row r="56" spans="1:9" ht="20.100000000000001" customHeight="1" thickTop="1" thickBot="1" x14ac:dyDescent="0.3">
      <c r="A56" s="2" t="s">
        <v>96</v>
      </c>
      <c r="C56" s="93">
        <f>$D$39</f>
        <v>17</v>
      </c>
      <c r="D56" s="19">
        <f>C56*D47</f>
        <v>5355000</v>
      </c>
      <c r="E56" s="16"/>
      <c r="F56" s="93">
        <f>$G$39</f>
        <v>17</v>
      </c>
      <c r="G56" s="19">
        <f>F56*G47</f>
        <v>8670000</v>
      </c>
      <c r="H56" s="16"/>
      <c r="I56" s="19">
        <f>D56+G56</f>
        <v>14025000</v>
      </c>
    </row>
    <row r="57" spans="1:9" ht="20.100000000000001" customHeight="1" thickTop="1" thickBot="1" x14ac:dyDescent="0.3">
      <c r="A57" s="2" t="s">
        <v>122</v>
      </c>
      <c r="C57" s="93">
        <f>$D$41</f>
        <v>4</v>
      </c>
      <c r="D57" s="19">
        <f>C57*D47</f>
        <v>1260000</v>
      </c>
      <c r="E57" s="16"/>
      <c r="F57" s="93">
        <f>$G$41</f>
        <v>4</v>
      </c>
      <c r="G57" s="19">
        <f>F57*G47</f>
        <v>2040000</v>
      </c>
      <c r="H57" s="16"/>
      <c r="I57" s="19">
        <f>D57+G57</f>
        <v>3300000</v>
      </c>
    </row>
    <row r="58" spans="1:9" ht="8.1" customHeight="1" thickTop="1" x14ac:dyDescent="0.25">
      <c r="A58" s="2"/>
      <c r="C58" s="11"/>
      <c r="D58" s="16"/>
      <c r="E58" s="16"/>
      <c r="F58" s="16"/>
      <c r="G58" s="16"/>
      <c r="H58" s="16"/>
      <c r="I58" s="16"/>
    </row>
    <row r="59" spans="1:9" ht="20.100000000000001" customHeight="1" x14ac:dyDescent="0.25">
      <c r="A59" s="7" t="s">
        <v>108</v>
      </c>
      <c r="C59" s="145" t="s">
        <v>15</v>
      </c>
      <c r="D59" s="145"/>
      <c r="E59" s="28"/>
      <c r="F59" s="145" t="s">
        <v>16</v>
      </c>
      <c r="G59" s="145"/>
      <c r="H59" s="16"/>
      <c r="I59" s="16"/>
    </row>
    <row r="60" spans="1:9" ht="8.1" customHeight="1" x14ac:dyDescent="0.25">
      <c r="A60" s="7"/>
      <c r="C60" s="11"/>
      <c r="D60" s="16"/>
      <c r="E60" s="16"/>
      <c r="F60" s="16"/>
      <c r="G60" s="16"/>
      <c r="H60" s="16"/>
      <c r="I60" s="16"/>
    </row>
    <row r="61" spans="1:9" ht="20.100000000000001" customHeight="1" x14ac:dyDescent="0.25">
      <c r="A61" s="2" t="s">
        <v>156</v>
      </c>
      <c r="C61" s="13">
        <f>INPUTS!$H$20</f>
        <v>0.94</v>
      </c>
      <c r="D61" s="16">
        <f>ROUND($D$45*C61,0)</f>
        <v>329000</v>
      </c>
      <c r="E61" s="16"/>
      <c r="F61" s="13">
        <f>INPUTS!$H$20</f>
        <v>0.94</v>
      </c>
      <c r="G61" s="16">
        <f>ROUND($G$45*F61,0)</f>
        <v>564000</v>
      </c>
      <c r="H61" s="16"/>
      <c r="I61" s="16"/>
    </row>
    <row r="62" spans="1:9" ht="20.100000000000001" customHeight="1" x14ac:dyDescent="0.25">
      <c r="A62" s="2" t="s">
        <v>157</v>
      </c>
      <c r="D62" s="16">
        <f>D47</f>
        <v>315000</v>
      </c>
      <c r="E62" s="16"/>
      <c r="F62"/>
      <c r="G62" s="16">
        <f>G47</f>
        <v>510000</v>
      </c>
      <c r="H62" s="16"/>
      <c r="I62" s="16"/>
    </row>
    <row r="63" spans="1:9" ht="20.100000000000001" customHeight="1" x14ac:dyDescent="0.25">
      <c r="A63" s="2" t="s">
        <v>99</v>
      </c>
      <c r="D63" s="17">
        <f>D61-D62</f>
        <v>14000</v>
      </c>
      <c r="E63" s="16"/>
      <c r="F63"/>
      <c r="G63" s="17">
        <f>G61-G62</f>
        <v>54000</v>
      </c>
      <c r="H63" s="16"/>
      <c r="I63" s="16"/>
    </row>
    <row r="64" spans="1:9" ht="20.100000000000001" customHeight="1" x14ac:dyDescent="0.25">
      <c r="A64" s="2" t="s">
        <v>239</v>
      </c>
      <c r="C64" s="71">
        <f>INPUTS!$H$40</f>
        <v>5284</v>
      </c>
      <c r="D64" s="16">
        <f>C64</f>
        <v>5284</v>
      </c>
      <c r="E64" s="16"/>
      <c r="F64" s="71">
        <f>C64</f>
        <v>5284</v>
      </c>
      <c r="G64" s="16">
        <f>F64</f>
        <v>5284</v>
      </c>
      <c r="H64" s="16"/>
      <c r="I64" s="16"/>
    </row>
    <row r="65" spans="1:9" ht="20.100000000000001" customHeight="1" x14ac:dyDescent="0.25">
      <c r="A65" s="2" t="s">
        <v>166</v>
      </c>
      <c r="C65" s="13">
        <f>INPUTS!$H$41</f>
        <v>1.4999999999999999E-2</v>
      </c>
      <c r="D65" s="16">
        <f>ROUND($D$61*C65,0)</f>
        <v>4935</v>
      </c>
      <c r="E65" s="16"/>
      <c r="F65" s="13">
        <f>INPUTS!$H$41</f>
        <v>1.4999999999999999E-2</v>
      </c>
      <c r="G65" s="16">
        <f>ROUND($G$61*F65,0)</f>
        <v>8460</v>
      </c>
      <c r="H65" s="16"/>
      <c r="I65" s="16"/>
    </row>
    <row r="66" spans="1:9" ht="20.100000000000001" customHeight="1" thickBot="1" x14ac:dyDescent="0.3">
      <c r="A66" s="2" t="s">
        <v>107</v>
      </c>
      <c r="D66" s="18">
        <f>D63-D64-D65</f>
        <v>3781</v>
      </c>
      <c r="E66" s="16"/>
      <c r="F66"/>
      <c r="G66" s="18">
        <f>G63-G64-G65</f>
        <v>40256</v>
      </c>
      <c r="H66" s="16"/>
      <c r="I66" s="16"/>
    </row>
    <row r="67" spans="1:9" ht="9.9499999999999993" customHeight="1" thickTop="1" x14ac:dyDescent="0.25">
      <c r="A67" s="2"/>
      <c r="D67" s="16"/>
      <c r="E67" s="16"/>
      <c r="F67" s="16"/>
      <c r="G67" s="16"/>
      <c r="H67" s="16"/>
      <c r="I67" s="16"/>
    </row>
    <row r="68" spans="1:9" ht="20.100000000000001" customHeight="1" thickBot="1" x14ac:dyDescent="0.3">
      <c r="A68" s="2" t="s">
        <v>106</v>
      </c>
      <c r="C68" s="91">
        <f>INPUTS!$H$17</f>
        <v>1</v>
      </c>
      <c r="D68" s="19">
        <f>ROUND(C68*D66,0)</f>
        <v>3781</v>
      </c>
      <c r="E68" s="16"/>
      <c r="F68" s="91">
        <f>C68</f>
        <v>1</v>
      </c>
      <c r="G68" s="19">
        <f>ROUND(F68*G66,0)</f>
        <v>40256</v>
      </c>
      <c r="H68" s="16"/>
      <c r="I68" s="16"/>
    </row>
    <row r="69" spans="1:9" ht="20.100000000000001" customHeight="1" thickTop="1" thickBot="1" x14ac:dyDescent="0.3">
      <c r="A69" s="2" t="s">
        <v>163</v>
      </c>
      <c r="C69" s="34">
        <f>$D$41</f>
        <v>4</v>
      </c>
      <c r="D69" s="19">
        <f>ROUND(D68*C69,0)</f>
        <v>15124</v>
      </c>
      <c r="E69" s="16"/>
      <c r="F69" s="34">
        <f>$G$41</f>
        <v>4</v>
      </c>
      <c r="G69" s="19">
        <f>ROUND(G68*F69,0)</f>
        <v>161024</v>
      </c>
      <c r="H69" s="16"/>
      <c r="I69" s="19">
        <f>D69+G69</f>
        <v>176148</v>
      </c>
    </row>
    <row r="70" spans="1:9" ht="8.1" customHeight="1" thickTop="1" x14ac:dyDescent="0.25">
      <c r="A70" s="20"/>
      <c r="D70" s="1"/>
      <c r="E70" s="1"/>
      <c r="F70" s="1"/>
      <c r="G70" s="1"/>
      <c r="H70" s="1"/>
      <c r="I70" s="1"/>
    </row>
    <row r="71" spans="1:9" ht="9.9499999999999993" customHeight="1" x14ac:dyDescent="0.25">
      <c r="A71" s="8"/>
      <c r="B71" s="9"/>
      <c r="C71" s="9"/>
      <c r="D71" s="10"/>
      <c r="E71" s="10"/>
      <c r="F71" s="10"/>
      <c r="G71" s="10"/>
      <c r="H71" s="10"/>
      <c r="I71" s="10"/>
    </row>
    <row r="72" spans="1:9" ht="20.100000000000001" customHeight="1" x14ac:dyDescent="0.25">
      <c r="A72" s="7" t="s">
        <v>103</v>
      </c>
      <c r="D72" s="1"/>
      <c r="E72" s="1"/>
      <c r="F72" s="1"/>
      <c r="G72" s="1"/>
      <c r="H72" s="1"/>
      <c r="I72" s="1"/>
    </row>
    <row r="73" spans="1:9" ht="20.100000000000001" customHeight="1" x14ac:dyDescent="0.25">
      <c r="A73" s="7" t="s">
        <v>104</v>
      </c>
      <c r="C73" s="146" t="s">
        <v>17</v>
      </c>
      <c r="D73" s="146"/>
      <c r="E73" s="28"/>
      <c r="F73" s="146" t="s">
        <v>18</v>
      </c>
      <c r="G73" s="146"/>
      <c r="H73" s="28"/>
      <c r="I73" s="92" t="s">
        <v>19</v>
      </c>
    </row>
    <row r="74" spans="1:9" ht="8.1" customHeight="1" x14ac:dyDescent="0.25">
      <c r="A74" s="7"/>
      <c r="B74" s="7"/>
      <c r="C74" s="7"/>
      <c r="D74" s="7"/>
      <c r="E74" s="7"/>
      <c r="F74" s="7"/>
      <c r="G74" s="7"/>
      <c r="H74" s="7"/>
      <c r="I74" s="7"/>
    </row>
    <row r="75" spans="1:9" ht="20.100000000000001" customHeight="1" x14ac:dyDescent="0.25">
      <c r="A75" s="2" t="s">
        <v>132</v>
      </c>
      <c r="C75" s="30"/>
      <c r="D75" s="29">
        <f>INPUTS!$H$52</f>
        <v>350000</v>
      </c>
      <c r="E75" s="1"/>
      <c r="F75" s="1"/>
      <c r="G75" s="29">
        <f>INPUTS!$H$57</f>
        <v>520000</v>
      </c>
      <c r="H75" s="1"/>
      <c r="I75" s="1"/>
    </row>
    <row r="76" spans="1:9" ht="9.9499999999999993" customHeight="1" x14ac:dyDescent="0.25">
      <c r="A76" s="2"/>
      <c r="D76" s="1"/>
      <c r="E76" s="1"/>
      <c r="F76" s="1"/>
      <c r="G76" s="1"/>
      <c r="H76" s="1"/>
      <c r="I76" s="1"/>
    </row>
    <row r="77" spans="1:9" ht="20.100000000000001" customHeight="1" x14ac:dyDescent="0.25">
      <c r="A77" s="2"/>
      <c r="D77" s="1" t="s">
        <v>9</v>
      </c>
      <c r="E77" s="1"/>
      <c r="F77" s="1"/>
      <c r="G77" s="1" t="s">
        <v>10</v>
      </c>
      <c r="H77" s="1"/>
      <c r="I77" s="1" t="s">
        <v>11</v>
      </c>
    </row>
    <row r="78" spans="1:9" ht="20.100000000000001" customHeight="1" thickBot="1" x14ac:dyDescent="0.3">
      <c r="A78" s="2" t="s">
        <v>100</v>
      </c>
      <c r="B78" s="31">
        <f>G7</f>
        <v>27</v>
      </c>
      <c r="C78" s="13">
        <f>INPUTS!$H$46</f>
        <v>0.75</v>
      </c>
      <c r="D78" s="1">
        <f>ROUND($B$78*$C$78,0)</f>
        <v>20</v>
      </c>
      <c r="E78" s="1"/>
      <c r="F78" s="13">
        <f>1-C78</f>
        <v>0.25</v>
      </c>
      <c r="G78" s="1">
        <f>ROUND(B78-D78,0)</f>
        <v>7</v>
      </c>
      <c r="H78" s="1"/>
      <c r="I78" s="1">
        <f>D78+G78</f>
        <v>27</v>
      </c>
    </row>
    <row r="79" spans="1:9" ht="20.100000000000001" customHeight="1" thickTop="1" x14ac:dyDescent="0.25">
      <c r="A79" s="2" t="s">
        <v>177</v>
      </c>
      <c r="C79" s="13">
        <f>INPUTS!$H$47</f>
        <v>0.4</v>
      </c>
      <c r="D79" s="1">
        <f>-ROUND(D78*C79,0)</f>
        <v>-8</v>
      </c>
      <c r="E79" s="1"/>
      <c r="F79" s="13">
        <f>$C$79</f>
        <v>0.4</v>
      </c>
      <c r="G79" s="1">
        <f>-ROUND(G78*F79,0)</f>
        <v>-3</v>
      </c>
      <c r="H79" s="1"/>
      <c r="I79" s="1">
        <f>D79+G79</f>
        <v>-11</v>
      </c>
    </row>
    <row r="80" spans="1:9" ht="20.100000000000001" customHeight="1" x14ac:dyDescent="0.25">
      <c r="A80" s="2" t="s">
        <v>133</v>
      </c>
      <c r="B80" s="12"/>
      <c r="D80" s="3">
        <f>SUM(D78:D79)</f>
        <v>12</v>
      </c>
      <c r="E80" s="1"/>
      <c r="F80" s="3"/>
      <c r="G80" s="3">
        <f>SUM(G78:G79)</f>
        <v>4</v>
      </c>
      <c r="H80" s="1"/>
      <c r="I80" s="3">
        <f>SUM(I78:I79)</f>
        <v>16</v>
      </c>
    </row>
    <row r="81" spans="1:9" ht="20.100000000000001" customHeight="1" x14ac:dyDescent="0.25">
      <c r="A81" s="2" t="s">
        <v>178</v>
      </c>
      <c r="B81" s="12"/>
      <c r="C81" s="13">
        <f>INPUTS!$H$48</f>
        <v>7.0000000000000007E-2</v>
      </c>
      <c r="D81" s="1">
        <f>-ROUND(D80*C81,0)</f>
        <v>-1</v>
      </c>
      <c r="E81" s="1"/>
      <c r="F81" s="13">
        <f>$C$34</f>
        <v>7.0000000000000007E-2</v>
      </c>
      <c r="G81" s="1">
        <f>-ROUND(G80*F81,0)</f>
        <v>0</v>
      </c>
      <c r="H81" s="1"/>
      <c r="I81" s="1">
        <f>D81+G81</f>
        <v>-1</v>
      </c>
    </row>
    <row r="82" spans="1:9" ht="20.100000000000001" customHeight="1" x14ac:dyDescent="0.25">
      <c r="A82" s="2" t="s">
        <v>134</v>
      </c>
      <c r="B82" s="12"/>
      <c r="D82" s="3">
        <f>SUM(D80:D81)</f>
        <v>11</v>
      </c>
      <c r="E82" s="1"/>
      <c r="F82"/>
      <c r="G82" s="3">
        <f>SUM(G80:G81)</f>
        <v>4</v>
      </c>
      <c r="H82" s="1"/>
      <c r="I82" s="3">
        <f>SUM(I80:I81)</f>
        <v>15</v>
      </c>
    </row>
    <row r="83" spans="1:9" ht="20.100000000000001" customHeight="1" x14ac:dyDescent="0.25">
      <c r="A83" s="2" t="s">
        <v>129</v>
      </c>
      <c r="B83" s="12"/>
      <c r="C83" s="13">
        <f>INPUTS!$H$49</f>
        <v>0.02</v>
      </c>
      <c r="D83" s="1">
        <f>-ROUND(D82*C83,0)</f>
        <v>0</v>
      </c>
      <c r="E83" s="1"/>
      <c r="F83" s="13">
        <f>$C$36</f>
        <v>0.02</v>
      </c>
      <c r="G83" s="1">
        <f>-ROUND(G82*F83,0)</f>
        <v>0</v>
      </c>
      <c r="H83" s="1"/>
      <c r="I83" s="1">
        <f>D83+G83</f>
        <v>0</v>
      </c>
    </row>
    <row r="84" spans="1:9" ht="20.100000000000001" customHeight="1" x14ac:dyDescent="0.25">
      <c r="A84" s="2" t="s">
        <v>127</v>
      </c>
      <c r="B84" s="12"/>
      <c r="D84" s="3">
        <f>SUM(D82:D83)</f>
        <v>11</v>
      </c>
      <c r="E84" s="1"/>
      <c r="F84"/>
      <c r="G84" s="3">
        <f>SUM(G82:G83)</f>
        <v>4</v>
      </c>
      <c r="H84" s="1"/>
      <c r="I84" s="3">
        <f>SUM(I82:I83)</f>
        <v>15</v>
      </c>
    </row>
    <row r="85" spans="1:9" ht="20.100000000000001" customHeight="1" x14ac:dyDescent="0.25">
      <c r="A85" s="2" t="s">
        <v>164</v>
      </c>
      <c r="C85" s="13">
        <f>INPUTS!D50</f>
        <v>0</v>
      </c>
      <c r="D85" s="1">
        <f>-ROUND(D80*C85,0)</f>
        <v>0</v>
      </c>
      <c r="E85" s="1"/>
      <c r="F85" s="13">
        <f>$C$85</f>
        <v>0</v>
      </c>
      <c r="G85" s="1">
        <f>-ROUND(G80*F85,0)</f>
        <v>0</v>
      </c>
      <c r="H85" s="1"/>
      <c r="I85" s="1">
        <f>D85+G85</f>
        <v>0</v>
      </c>
    </row>
    <row r="86" spans="1:9" ht="20.100000000000001" customHeight="1" x14ac:dyDescent="0.25">
      <c r="A86" s="2" t="s">
        <v>201</v>
      </c>
      <c r="D86" s="3">
        <f>SUM(D84:D85)</f>
        <v>11</v>
      </c>
      <c r="E86" s="1"/>
      <c r="F86" s="3"/>
      <c r="G86" s="3">
        <f>SUM(G84:G85)</f>
        <v>4</v>
      </c>
      <c r="H86" s="1"/>
      <c r="I86" s="3">
        <f>SUM(I84:I85)</f>
        <v>15</v>
      </c>
    </row>
    <row r="87" spans="1:9" ht="20.100000000000001" customHeight="1" x14ac:dyDescent="0.25">
      <c r="A87" s="2" t="s">
        <v>165</v>
      </c>
      <c r="C87" s="13">
        <f>INPUTS!$H$62</f>
        <v>0</v>
      </c>
      <c r="D87" s="1">
        <f>-ROUND(D86*C87,0)</f>
        <v>0</v>
      </c>
      <c r="E87" s="1"/>
      <c r="F87" s="13">
        <f>$C$87</f>
        <v>0</v>
      </c>
      <c r="G87" s="1">
        <f>-ROUND(G86*F87,0)</f>
        <v>0</v>
      </c>
      <c r="H87" s="1"/>
      <c r="I87" s="1">
        <f>D87+G87</f>
        <v>0</v>
      </c>
    </row>
    <row r="88" spans="1:9" ht="20.100000000000001" customHeight="1" thickBot="1" x14ac:dyDescent="0.3">
      <c r="A88" s="2" t="s">
        <v>119</v>
      </c>
      <c r="D88" s="4">
        <f>SUM(D86:D87)</f>
        <v>11</v>
      </c>
      <c r="E88" s="1"/>
      <c r="F88" s="1"/>
      <c r="G88" s="4">
        <f>SUM(G86:G87)</f>
        <v>4</v>
      </c>
      <c r="H88" s="1"/>
      <c r="I88" s="4">
        <f>SUM(I86:I87)</f>
        <v>15</v>
      </c>
    </row>
    <row r="89" spans="1:9" ht="8.1" customHeight="1" thickTop="1" x14ac:dyDescent="0.25">
      <c r="A89" s="20"/>
      <c r="D89" s="1"/>
      <c r="E89" s="1"/>
      <c r="F89" s="1"/>
      <c r="G89" s="1"/>
      <c r="H89" s="1"/>
      <c r="I89" s="1"/>
    </row>
    <row r="90" spans="1:9" ht="20.100000000000001" customHeight="1" x14ac:dyDescent="0.25">
      <c r="A90" s="7" t="s">
        <v>105</v>
      </c>
      <c r="C90" s="146" t="s">
        <v>17</v>
      </c>
      <c r="D90" s="146"/>
      <c r="E90" s="28"/>
      <c r="F90" s="146" t="s">
        <v>18</v>
      </c>
      <c r="G90" s="146"/>
      <c r="H90" s="28"/>
      <c r="I90" s="92" t="s">
        <v>19</v>
      </c>
    </row>
    <row r="91" spans="1:9" ht="8.1" customHeight="1" x14ac:dyDescent="0.25">
      <c r="A91" s="7"/>
      <c r="D91"/>
      <c r="E91"/>
      <c r="F91"/>
      <c r="G91"/>
      <c r="H91"/>
      <c r="I91"/>
    </row>
    <row r="92" spans="1:9" ht="20.100000000000001" customHeight="1" x14ac:dyDescent="0.25">
      <c r="A92" s="2" t="s">
        <v>158</v>
      </c>
      <c r="D92" s="29">
        <f>INPUTS!$H$52</f>
        <v>350000</v>
      </c>
      <c r="E92"/>
      <c r="F92"/>
      <c r="G92" s="29">
        <f>INPUTS!$H$57</f>
        <v>520000</v>
      </c>
      <c r="H92"/>
      <c r="I92"/>
    </row>
    <row r="93" spans="1:9" ht="20.100000000000001" customHeight="1" x14ac:dyDescent="0.25">
      <c r="A93" s="2" t="s">
        <v>125</v>
      </c>
      <c r="D93" s="13">
        <f>INPUTS!$H$54</f>
        <v>0.85</v>
      </c>
      <c r="E93"/>
      <c r="F93"/>
      <c r="G93" s="13">
        <f>INPUTS!$H$59</f>
        <v>0.8</v>
      </c>
      <c r="H93"/>
      <c r="I93"/>
    </row>
    <row r="94" spans="1:9" ht="20.100000000000001" customHeight="1" x14ac:dyDescent="0.25">
      <c r="A94" s="2" t="s">
        <v>126</v>
      </c>
      <c r="D94" s="29">
        <f>ROUND(D92*D93,0)</f>
        <v>297500</v>
      </c>
      <c r="E94"/>
      <c r="F94"/>
      <c r="G94" s="29">
        <f>ROUND(G92*G93,0)</f>
        <v>416000</v>
      </c>
      <c r="H94"/>
      <c r="I94"/>
    </row>
    <row r="95" spans="1:9" ht="20.100000000000001" customHeight="1" thickBot="1" x14ac:dyDescent="0.3">
      <c r="A95" s="2" t="s">
        <v>97</v>
      </c>
      <c r="D95" s="31">
        <f>$D$86</f>
        <v>11</v>
      </c>
      <c r="E95"/>
      <c r="F95"/>
      <c r="G95" s="31">
        <f>G86</f>
        <v>4</v>
      </c>
      <c r="H95"/>
      <c r="I95"/>
    </row>
    <row r="96" spans="1:9" ht="8.1" customHeight="1" thickTop="1" x14ac:dyDescent="0.25">
      <c r="A96" s="2"/>
      <c r="D96"/>
      <c r="E96"/>
      <c r="F96"/>
      <c r="G96"/>
      <c r="H96"/>
      <c r="I96"/>
    </row>
    <row r="97" spans="1:9" ht="20.100000000000001" customHeight="1" thickBot="1" x14ac:dyDescent="0.3">
      <c r="A97" s="2" t="s">
        <v>202</v>
      </c>
      <c r="C97" s="122">
        <f>$D$86</f>
        <v>11</v>
      </c>
      <c r="D97" s="19">
        <f>$C$97*$D$92</f>
        <v>3850000</v>
      </c>
      <c r="E97"/>
      <c r="F97" s="122">
        <f>$G$86</f>
        <v>4</v>
      </c>
      <c r="G97" s="19">
        <f>$F$98*$G$92</f>
        <v>2080000</v>
      </c>
      <c r="H97" s="16"/>
      <c r="I97" s="19">
        <f>D97+G97</f>
        <v>5930000</v>
      </c>
    </row>
    <row r="98" spans="1:9" ht="20.100000000000001" customHeight="1" thickTop="1" thickBot="1" x14ac:dyDescent="0.3">
      <c r="A98" s="2" t="s">
        <v>123</v>
      </c>
      <c r="C98" s="93">
        <f>$D$86</f>
        <v>11</v>
      </c>
      <c r="D98" s="19">
        <f>C98*D94</f>
        <v>3272500</v>
      </c>
      <c r="E98" s="16"/>
      <c r="F98" s="93">
        <f>$G$86</f>
        <v>4</v>
      </c>
      <c r="G98" s="19">
        <f>F98*G94</f>
        <v>1664000</v>
      </c>
      <c r="H98" s="16"/>
      <c r="I98" s="19">
        <f>D98+G98</f>
        <v>4936500</v>
      </c>
    </row>
    <row r="99" spans="1:9" ht="20.100000000000001" customHeight="1" thickTop="1" thickBot="1" x14ac:dyDescent="0.3">
      <c r="A99" s="2" t="s">
        <v>124</v>
      </c>
      <c r="C99" s="93">
        <f>$D$88</f>
        <v>11</v>
      </c>
      <c r="D99" s="19">
        <f>C99*D94</f>
        <v>3272500</v>
      </c>
      <c r="E99" s="16"/>
      <c r="F99" s="93">
        <f>$G$88</f>
        <v>4</v>
      </c>
      <c r="G99" s="19">
        <f>F99*G94</f>
        <v>1664000</v>
      </c>
      <c r="H99" s="16"/>
      <c r="I99" s="19">
        <f>D99+G99</f>
        <v>4936500</v>
      </c>
    </row>
    <row r="100" spans="1:9" ht="8.1" customHeight="1" thickTop="1" x14ac:dyDescent="0.25">
      <c r="A100" s="2"/>
      <c r="C100" s="11"/>
      <c r="D100" s="16"/>
      <c r="E100" s="16"/>
      <c r="F100" s="16"/>
      <c r="G100" s="16"/>
      <c r="H100" s="16"/>
      <c r="I100" s="16"/>
    </row>
    <row r="101" spans="1:9" ht="20.100000000000001" customHeight="1" x14ac:dyDescent="0.25">
      <c r="A101" s="7" t="s">
        <v>105</v>
      </c>
      <c r="C101" s="11"/>
      <c r="D101" s="16"/>
      <c r="E101" s="16"/>
      <c r="F101" s="16"/>
      <c r="G101" s="16"/>
      <c r="H101" s="16"/>
      <c r="I101" s="16"/>
    </row>
    <row r="102" spans="1:9" ht="20.100000000000001" customHeight="1" x14ac:dyDescent="0.25">
      <c r="A102" s="2" t="s">
        <v>159</v>
      </c>
      <c r="C102" s="13">
        <f>INPUTS!$H$44</f>
        <v>0.94</v>
      </c>
      <c r="D102" s="16">
        <f>ROUND($D$45*C102,0)</f>
        <v>329000</v>
      </c>
      <c r="E102" s="16"/>
      <c r="F102" s="13">
        <f>$C$102</f>
        <v>0.94</v>
      </c>
      <c r="G102" s="16">
        <f>ROUND($G$45*F102,0)</f>
        <v>564000</v>
      </c>
      <c r="H102" s="16"/>
      <c r="I102" s="16"/>
    </row>
    <row r="103" spans="1:9" ht="20.100000000000001" customHeight="1" x14ac:dyDescent="0.25">
      <c r="A103" s="2" t="s">
        <v>160</v>
      </c>
      <c r="D103" s="16">
        <f>D94</f>
        <v>297500</v>
      </c>
      <c r="E103" s="16"/>
      <c r="F103"/>
      <c r="G103" s="16">
        <f>G94</f>
        <v>416000</v>
      </c>
      <c r="H103" s="16"/>
      <c r="I103" s="16"/>
    </row>
    <row r="104" spans="1:9" ht="20.100000000000001" customHeight="1" x14ac:dyDescent="0.25">
      <c r="A104" s="2" t="s">
        <v>3</v>
      </c>
      <c r="D104" s="17">
        <f>D102-D103</f>
        <v>31500</v>
      </c>
      <c r="E104" s="16"/>
      <c r="F104"/>
      <c r="G104" s="17">
        <f>G102-G103</f>
        <v>148000</v>
      </c>
      <c r="H104" s="16"/>
      <c r="I104" s="16"/>
    </row>
    <row r="105" spans="1:9" ht="20.100000000000001" customHeight="1" x14ac:dyDescent="0.25">
      <c r="A105" s="2" t="s">
        <v>238</v>
      </c>
      <c r="C105" s="71">
        <f>INPUTS!$H$63</f>
        <v>5284</v>
      </c>
      <c r="D105" s="16">
        <f>C105</f>
        <v>5284</v>
      </c>
      <c r="E105" s="16"/>
      <c r="F105" s="71">
        <f>C105</f>
        <v>5284</v>
      </c>
      <c r="G105" s="16">
        <f>F105</f>
        <v>5284</v>
      </c>
      <c r="H105" s="16"/>
      <c r="I105" s="16"/>
    </row>
    <row r="106" spans="1:9" ht="20.100000000000001" customHeight="1" x14ac:dyDescent="0.25">
      <c r="A106" s="2" t="s">
        <v>166</v>
      </c>
      <c r="C106" s="13">
        <f>INPUTS!$H$64</f>
        <v>1.4999999999999999E-2</v>
      </c>
      <c r="D106" s="16">
        <f>ROUND($D$102*C106,0)</f>
        <v>4935</v>
      </c>
      <c r="E106" s="16"/>
      <c r="F106" s="13">
        <f>$C$106</f>
        <v>1.4999999999999999E-2</v>
      </c>
      <c r="G106" s="16">
        <f>ROUND($G$102*F106,0)</f>
        <v>8460</v>
      </c>
      <c r="H106" s="16"/>
      <c r="I106" s="16"/>
    </row>
    <row r="107" spans="1:9" ht="20.100000000000001" customHeight="1" thickBot="1" x14ac:dyDescent="0.3">
      <c r="A107" s="2" t="s">
        <v>161</v>
      </c>
      <c r="D107" s="18">
        <f>D104-D105-D106</f>
        <v>21281</v>
      </c>
      <c r="E107" s="16"/>
      <c r="F107"/>
      <c r="G107" s="18">
        <f>G104-G105-G106</f>
        <v>134256</v>
      </c>
      <c r="H107" s="16"/>
      <c r="I107" s="16"/>
    </row>
    <row r="108" spans="1:9" ht="9.9499999999999993" customHeight="1" thickTop="1" x14ac:dyDescent="0.25">
      <c r="A108" s="2"/>
      <c r="D108" s="16"/>
      <c r="E108" s="16"/>
      <c r="F108" s="16"/>
      <c r="G108" s="16"/>
      <c r="H108" s="16"/>
      <c r="I108" s="16"/>
    </row>
    <row r="109" spans="1:9" ht="20.100000000000001" customHeight="1" thickBot="1" x14ac:dyDescent="0.3">
      <c r="A109" s="2" t="s">
        <v>4</v>
      </c>
      <c r="C109" s="91">
        <f>INPUTS!$H$17</f>
        <v>1</v>
      </c>
      <c r="D109" s="19">
        <f>ROUND(C109*D107,0)</f>
        <v>21281</v>
      </c>
      <c r="E109" s="16"/>
      <c r="F109" s="91">
        <f>$C$109</f>
        <v>1</v>
      </c>
      <c r="G109" s="19">
        <f>ROUND(F109*G107,0)</f>
        <v>134256</v>
      </c>
      <c r="H109" s="16"/>
      <c r="I109" s="16"/>
    </row>
    <row r="110" spans="1:9" ht="20.100000000000001" customHeight="1" thickTop="1" thickBot="1" x14ac:dyDescent="0.3">
      <c r="A110" s="2" t="s">
        <v>162</v>
      </c>
      <c r="C110" s="34">
        <f>$D$88</f>
        <v>11</v>
      </c>
      <c r="D110" s="19">
        <f>ROUND(D109*C110,0)</f>
        <v>234091</v>
      </c>
      <c r="E110" s="16"/>
      <c r="F110" s="34">
        <f>$G$88</f>
        <v>4</v>
      </c>
      <c r="G110" s="19">
        <f>ROUND(G109*F110,0)</f>
        <v>537024</v>
      </c>
      <c r="H110" s="16"/>
      <c r="I110" s="19">
        <f>D110+G110</f>
        <v>771115</v>
      </c>
    </row>
    <row r="111" spans="1:9" ht="20.100000000000001" customHeight="1" thickTop="1" x14ac:dyDescent="0.25">
      <c r="A111" s="7"/>
      <c r="D111" s="1"/>
      <c r="E111" s="1"/>
      <c r="F111" s="1"/>
      <c r="G111" s="1"/>
      <c r="H111" s="1"/>
      <c r="I111" s="1"/>
    </row>
    <row r="112" spans="1:9" ht="8.1" customHeight="1" x14ac:dyDescent="0.25">
      <c r="A112" s="2"/>
      <c r="B112" s="38"/>
      <c r="C112" s="21"/>
      <c r="D112" s="16"/>
      <c r="E112" s="16"/>
      <c r="F112" s="16"/>
      <c r="G112" s="16"/>
      <c r="H112" s="16"/>
      <c r="I112" s="16"/>
    </row>
    <row r="113" spans="1:9" ht="9.9499999999999993" customHeight="1" x14ac:dyDescent="0.25">
      <c r="A113" s="8"/>
      <c r="B113" s="9"/>
      <c r="C113" s="9"/>
      <c r="D113" s="10"/>
      <c r="E113" s="10"/>
      <c r="F113" s="10"/>
      <c r="G113" s="10"/>
      <c r="H113" s="10"/>
      <c r="I113" s="10"/>
    </row>
    <row r="114" spans="1:9" ht="20.100000000000001" customHeight="1" x14ac:dyDescent="0.25">
      <c r="A114" s="7" t="s">
        <v>101</v>
      </c>
      <c r="B114" s="38"/>
      <c r="C114" s="21"/>
      <c r="D114" s="92" t="s">
        <v>184</v>
      </c>
      <c r="E114" s="16"/>
      <c r="F114" s="16"/>
      <c r="G114" s="92" t="s">
        <v>16</v>
      </c>
      <c r="H114" s="16"/>
      <c r="I114" s="16"/>
    </row>
    <row r="115" spans="1:9" ht="20.100000000000001" customHeight="1" x14ac:dyDescent="0.25">
      <c r="A115" s="2" t="s">
        <v>30</v>
      </c>
      <c r="B115" s="38"/>
      <c r="C115" s="21"/>
      <c r="D115" s="16">
        <f>D50</f>
        <v>3150</v>
      </c>
      <c r="E115" s="16"/>
      <c r="F115" s="16"/>
      <c r="G115" s="16">
        <f>G50</f>
        <v>5100</v>
      </c>
      <c r="H115" s="16"/>
      <c r="I115" s="16"/>
    </row>
    <row r="116" spans="1:9" ht="20.100000000000001" customHeight="1" x14ac:dyDescent="0.25">
      <c r="A116" s="56" t="s">
        <v>2</v>
      </c>
      <c r="B116" s="38"/>
      <c r="C116" s="21"/>
      <c r="D116" s="16">
        <f>D68</f>
        <v>3781</v>
      </c>
      <c r="E116" s="16"/>
      <c r="F116" s="16"/>
      <c r="G116" s="16">
        <f>G68</f>
        <v>40256</v>
      </c>
      <c r="H116" s="16"/>
      <c r="I116" s="16"/>
    </row>
    <row r="117" spans="1:9" ht="20.100000000000001" customHeight="1" thickBot="1" x14ac:dyDescent="0.3">
      <c r="A117" s="2"/>
      <c r="B117" s="38"/>
      <c r="C117" s="21"/>
      <c r="D117" s="18">
        <f>SUM(D115:D116)</f>
        <v>6931</v>
      </c>
      <c r="E117" s="16"/>
      <c r="F117" s="16"/>
      <c r="G117" s="18">
        <f>SUM(G115:G116)</f>
        <v>45356</v>
      </c>
      <c r="H117" s="16"/>
      <c r="I117" s="16"/>
    </row>
    <row r="118" spans="1:9" ht="8.1" customHeight="1" thickTop="1" x14ac:dyDescent="0.25">
      <c r="A118" s="2"/>
      <c r="B118" s="38"/>
      <c r="C118" s="21"/>
      <c r="D118" s="16"/>
      <c r="E118" s="16"/>
      <c r="F118" s="16"/>
      <c r="G118" s="16"/>
      <c r="H118" s="16"/>
      <c r="I118" s="16"/>
    </row>
    <row r="119" spans="1:9" ht="20.100000000000001" customHeight="1" thickBot="1" x14ac:dyDescent="0.3">
      <c r="A119" s="2" t="s">
        <v>1</v>
      </c>
      <c r="B119" s="38"/>
      <c r="C119" s="91">
        <f>INPUTS!D30</f>
        <v>0.9</v>
      </c>
      <c r="D119" s="19">
        <f>D47</f>
        <v>315000</v>
      </c>
      <c r="E119" s="16"/>
      <c r="F119" s="91">
        <f>INPUTS!$H$35</f>
        <v>0.85</v>
      </c>
      <c r="G119" s="19">
        <f>G47</f>
        <v>510000</v>
      </c>
      <c r="H119" s="16"/>
      <c r="I119" s="16"/>
    </row>
    <row r="120" spans="1:9" ht="8.1" customHeight="1" thickTop="1" x14ac:dyDescent="0.25">
      <c r="A120" s="2"/>
      <c r="B120" s="38"/>
      <c r="C120" s="21"/>
      <c r="D120" s="16"/>
      <c r="E120" s="16"/>
      <c r="F120" s="16"/>
      <c r="G120" s="16"/>
      <c r="H120" s="16"/>
      <c r="I120" s="16"/>
    </row>
    <row r="121" spans="1:9" ht="20.100000000000001" hidden="1" customHeight="1" thickBot="1" x14ac:dyDescent="0.3">
      <c r="A121" s="2" t="s">
        <v>31</v>
      </c>
      <c r="B121" s="38"/>
      <c r="C121" s="21"/>
      <c r="D121" s="69">
        <f>ROUND(D117/D119,4)</f>
        <v>2.1999999999999999E-2</v>
      </c>
      <c r="E121" s="16"/>
      <c r="F121" s="16"/>
      <c r="G121" s="69">
        <f>ROUND(G117/G119,4)</f>
        <v>8.8900000000000007E-2</v>
      </c>
      <c r="H121" s="16"/>
      <c r="I121" s="16"/>
    </row>
    <row r="122" spans="1:9" ht="20.100000000000001" customHeight="1" thickBot="1" x14ac:dyDescent="0.3">
      <c r="A122" s="2" t="s">
        <v>32</v>
      </c>
      <c r="B122" s="38"/>
      <c r="C122" s="21"/>
      <c r="D122" s="69">
        <f>ROUND(D121*52/20,4)</f>
        <v>5.7200000000000001E-2</v>
      </c>
      <c r="E122" s="16"/>
      <c r="F122" s="16"/>
      <c r="G122" s="69">
        <f>ROUND(G121*52/20,4)</f>
        <v>0.2311</v>
      </c>
      <c r="H122" s="16"/>
      <c r="I122" s="16"/>
    </row>
    <row r="123" spans="1:9" ht="20.100000000000001" customHeight="1" thickTop="1" x14ac:dyDescent="0.25">
      <c r="A123" s="2"/>
      <c r="B123" s="38"/>
      <c r="C123" s="21"/>
      <c r="D123" s="16"/>
      <c r="E123" s="16"/>
      <c r="F123" s="16"/>
      <c r="G123" s="16"/>
      <c r="H123" s="16"/>
      <c r="I123" s="16"/>
    </row>
    <row r="124" spans="1:9" ht="9.9499999999999993" customHeight="1" x14ac:dyDescent="0.25">
      <c r="A124" s="8"/>
      <c r="B124" s="9"/>
      <c r="C124" s="9"/>
      <c r="D124" s="10"/>
      <c r="E124" s="10"/>
      <c r="F124" s="10"/>
      <c r="G124" s="10"/>
      <c r="H124" s="10"/>
      <c r="I124" s="10"/>
    </row>
    <row r="125" spans="1:9" ht="20.100000000000001" customHeight="1" x14ac:dyDescent="0.25">
      <c r="A125" s="2" t="s">
        <v>77</v>
      </c>
      <c r="B125" s="38"/>
      <c r="C125" s="21"/>
      <c r="D125" s="92" t="s">
        <v>205</v>
      </c>
      <c r="E125" s="16"/>
      <c r="F125" s="16"/>
      <c r="G125" s="92" t="s">
        <v>204</v>
      </c>
      <c r="H125" s="16"/>
      <c r="I125" s="16"/>
    </row>
    <row r="126" spans="1:9" ht="20.100000000000001" customHeight="1" x14ac:dyDescent="0.25">
      <c r="A126" s="2" t="s">
        <v>78</v>
      </c>
      <c r="B126" s="38"/>
      <c r="C126" s="34">
        <f>C57</f>
        <v>4</v>
      </c>
      <c r="D126" s="16">
        <f>D57</f>
        <v>1260000</v>
      </c>
      <c r="E126" s="16"/>
      <c r="F126" s="34">
        <f>$C$55</f>
        <v>4</v>
      </c>
      <c r="G126" s="16">
        <f>$C$55*$D$45</f>
        <v>1400000</v>
      </c>
      <c r="H126" s="16"/>
      <c r="I126" s="16"/>
    </row>
    <row r="127" spans="1:9" ht="20.100000000000001" customHeight="1" x14ac:dyDescent="0.25">
      <c r="A127" s="2" t="s">
        <v>79</v>
      </c>
      <c r="B127" s="38"/>
      <c r="C127" s="34">
        <f>F57</f>
        <v>4</v>
      </c>
      <c r="D127" s="16">
        <f>G57</f>
        <v>2040000</v>
      </c>
      <c r="E127" s="16"/>
      <c r="F127" s="34">
        <f>$F$55</f>
        <v>4</v>
      </c>
      <c r="G127" s="16">
        <f>$F$55*$G$45</f>
        <v>2400000</v>
      </c>
      <c r="H127" s="16"/>
      <c r="I127" s="16"/>
    </row>
    <row r="128" spans="1:9" ht="20.100000000000001" customHeight="1" x14ac:dyDescent="0.25">
      <c r="A128" s="2" t="s">
        <v>80</v>
      </c>
      <c r="B128" s="38"/>
      <c r="C128" s="34">
        <f>C99</f>
        <v>11</v>
      </c>
      <c r="D128" s="16">
        <f>D99</f>
        <v>3272500</v>
      </c>
      <c r="E128" s="16"/>
      <c r="F128" s="34">
        <f>$C$97</f>
        <v>11</v>
      </c>
      <c r="G128" s="16">
        <f>$C$97*$D$92</f>
        <v>3850000</v>
      </c>
      <c r="H128" s="16"/>
      <c r="I128" s="16"/>
    </row>
    <row r="129" spans="1:9" ht="20.100000000000001" customHeight="1" x14ac:dyDescent="0.25">
      <c r="A129" s="2" t="s">
        <v>81</v>
      </c>
      <c r="B129" s="38"/>
      <c r="C129" s="34">
        <f>F99</f>
        <v>4</v>
      </c>
      <c r="D129" s="16">
        <f>G99</f>
        <v>1664000</v>
      </c>
      <c r="E129" s="16"/>
      <c r="F129" s="34">
        <f>$F$97</f>
        <v>4</v>
      </c>
      <c r="G129" s="16">
        <f>$F$97*$G$92</f>
        <v>2080000</v>
      </c>
      <c r="H129" s="16"/>
      <c r="I129" s="16"/>
    </row>
    <row r="130" spans="1:9" ht="20.100000000000001" customHeight="1" thickBot="1" x14ac:dyDescent="0.3">
      <c r="A130" s="2" t="s">
        <v>11</v>
      </c>
      <c r="B130" s="38"/>
      <c r="C130" s="35">
        <f>SUM(C126:C129)</f>
        <v>23</v>
      </c>
      <c r="D130" s="18">
        <f>SUM(D126:D129)</f>
        <v>8236500</v>
      </c>
      <c r="E130" s="16"/>
      <c r="F130" s="35">
        <f>SUM(F126:F129)</f>
        <v>23</v>
      </c>
      <c r="G130" s="18">
        <f>SUM(G126:G129)</f>
        <v>9730000</v>
      </c>
      <c r="H130" s="16"/>
      <c r="I130" s="16"/>
    </row>
    <row r="131" spans="1:9" ht="20.100000000000001" customHeight="1" thickTop="1" thickBot="1" x14ac:dyDescent="0.3">
      <c r="A131" s="2" t="s">
        <v>82</v>
      </c>
      <c r="B131" s="38"/>
      <c r="C131" s="21"/>
      <c r="D131" s="110">
        <f>ROUND(D130/C130,0)</f>
        <v>358109</v>
      </c>
      <c r="E131" s="16"/>
      <c r="F131" s="16"/>
      <c r="G131" s="110">
        <f>ROUND(G130/F130,0)</f>
        <v>423043</v>
      </c>
      <c r="H131" s="16"/>
      <c r="I131" s="16"/>
    </row>
    <row r="132" spans="1:9" ht="20.100000000000001" customHeight="1" thickTop="1" x14ac:dyDescent="0.25">
      <c r="A132" s="102"/>
      <c r="B132" s="38"/>
      <c r="C132" s="21"/>
      <c r="D132" s="16"/>
      <c r="E132" s="16"/>
      <c r="F132" s="16"/>
      <c r="G132" s="16"/>
      <c r="H132" s="16"/>
      <c r="I132" s="16"/>
    </row>
    <row r="133" spans="1:9" ht="20.100000000000001" customHeight="1" thickBot="1" x14ac:dyDescent="0.3">
      <c r="A133" s="103" t="s">
        <v>185</v>
      </c>
      <c r="B133" s="21"/>
      <c r="C133" s="93">
        <f>ROUND(C130/3,0)</f>
        <v>8</v>
      </c>
      <c r="D133" s="19">
        <f>ROUND(D131*C133,0)</f>
        <v>2864872</v>
      </c>
      <c r="E133" s="16"/>
      <c r="F133" s="93">
        <f>ROUND(F130/3,0)</f>
        <v>8</v>
      </c>
      <c r="G133" s="19">
        <f>ROUND(G131*F133,0)</f>
        <v>3384344</v>
      </c>
      <c r="H133" s="16"/>
      <c r="I133" s="16"/>
    </row>
    <row r="134" spans="1:9" ht="8.1" customHeight="1" thickTop="1" x14ac:dyDescent="0.25"/>
    <row r="135" spans="1:9" ht="9.9499999999999993" customHeight="1" x14ac:dyDescent="0.25">
      <c r="A135" s="8"/>
      <c r="B135" s="9"/>
      <c r="C135" s="9"/>
      <c r="D135" s="10"/>
      <c r="E135" s="10"/>
      <c r="F135" s="10"/>
      <c r="G135" s="10"/>
      <c r="H135" s="10"/>
      <c r="I135" s="10"/>
    </row>
    <row r="232" spans="1:2" x14ac:dyDescent="0.25">
      <c r="B232" s="51"/>
    </row>
    <row r="233" spans="1:2" x14ac:dyDescent="0.25">
      <c r="B233" s="51"/>
    </row>
    <row r="234" spans="1:2" x14ac:dyDescent="0.25">
      <c r="B234" s="51"/>
    </row>
    <row r="235" spans="1:2" x14ac:dyDescent="0.25">
      <c r="A235" s="42"/>
      <c r="B235" s="52"/>
    </row>
    <row r="236" spans="1:2" x14ac:dyDescent="0.25">
      <c r="A236" s="42"/>
      <c r="B236" s="52"/>
    </row>
    <row r="237" spans="1:2" x14ac:dyDescent="0.25">
      <c r="A237" s="42"/>
      <c r="B237" s="52"/>
    </row>
    <row r="238" spans="1:2" x14ac:dyDescent="0.25">
      <c r="A238" s="42"/>
      <c r="B238" s="52"/>
    </row>
    <row r="239" spans="1:2" x14ac:dyDescent="0.25">
      <c r="A239" s="43"/>
      <c r="B239" s="52"/>
    </row>
    <row r="240" spans="1:2" x14ac:dyDescent="0.25">
      <c r="A240" s="42"/>
      <c r="B240" s="52"/>
    </row>
    <row r="241" spans="1:2" x14ac:dyDescent="0.25">
      <c r="A241" s="42"/>
      <c r="B241" s="52"/>
    </row>
    <row r="242" spans="1:2" x14ac:dyDescent="0.25">
      <c r="A242" s="42"/>
      <c r="B242" s="52"/>
    </row>
    <row r="243" spans="1:2" x14ac:dyDescent="0.25">
      <c r="A243" s="42"/>
      <c r="B243" s="52"/>
    </row>
    <row r="244" spans="1:2" x14ac:dyDescent="0.25">
      <c r="A244" s="43"/>
      <c r="B244" s="52"/>
    </row>
    <row r="245" spans="1:2" x14ac:dyDescent="0.25">
      <c r="A245" s="42"/>
      <c r="B245" s="52"/>
    </row>
    <row r="246" spans="1:2" x14ac:dyDescent="0.25">
      <c r="A246" s="42"/>
      <c r="B246" s="52"/>
    </row>
    <row r="247" spans="1:2" x14ac:dyDescent="0.25">
      <c r="A247" s="49"/>
      <c r="B247" s="52"/>
    </row>
    <row r="248" spans="1:2" x14ac:dyDescent="0.25">
      <c r="B248" s="52"/>
    </row>
    <row r="249" spans="1:2" x14ac:dyDescent="0.25">
      <c r="A249" s="42"/>
      <c r="B249" s="52"/>
    </row>
    <row r="250" spans="1:2" x14ac:dyDescent="0.25">
      <c r="A250" s="41"/>
      <c r="B250" s="52"/>
    </row>
    <row r="251" spans="1:2" x14ac:dyDescent="0.25">
      <c r="A251" s="43"/>
      <c r="B251" s="52"/>
    </row>
    <row r="252" spans="1:2" x14ac:dyDescent="0.25">
      <c r="A252" s="42"/>
      <c r="B252" s="52"/>
    </row>
    <row r="253" spans="1:2" x14ac:dyDescent="0.25">
      <c r="A253" s="41"/>
      <c r="B253" s="53"/>
    </row>
    <row r="254" spans="1:2" x14ac:dyDescent="0.25">
      <c r="A254" s="44"/>
      <c r="B254" s="54"/>
    </row>
    <row r="255" spans="1:2" x14ac:dyDescent="0.25">
      <c r="A255" s="44"/>
      <c r="B255" s="50"/>
    </row>
    <row r="256" spans="1:2" x14ac:dyDescent="0.25">
      <c r="B256" s="55"/>
    </row>
  </sheetData>
  <sheetProtection algorithmName="SHA-512" hashValue="0T9uUYNXBlCYti6kL1zj1V6xqzKbPyOJHZwszMOFZqHl0Czioe9KrQcMxS6eVWgH1A5IIW2VUrxjS2O38TXGYQ==" saltValue="YfhnsOPfHHjtbvv4Nz7brg==" spinCount="100000" sheet="1" selectLockedCells="1" selectUnlockedCells="1"/>
  <protectedRanges>
    <protectedRange sqref="A235:A246 B237:B255 A251:A253 B235 A249" name="Range8_1"/>
  </protectedRanges>
  <mergeCells count="15">
    <mergeCell ref="C27:D27"/>
    <mergeCell ref="F27:G27"/>
    <mergeCell ref="A1:I1"/>
    <mergeCell ref="C3:D3"/>
    <mergeCell ref="F3:G3"/>
    <mergeCell ref="C10:D10"/>
    <mergeCell ref="F10:G10"/>
    <mergeCell ref="C90:D90"/>
    <mergeCell ref="F90:G90"/>
    <mergeCell ref="C43:D43"/>
    <mergeCell ref="F43:G43"/>
    <mergeCell ref="C59:D59"/>
    <mergeCell ref="F59:G59"/>
    <mergeCell ref="C73:D73"/>
    <mergeCell ref="F73:G73"/>
  </mergeCells>
  <conditionalFormatting sqref="B73:C73 E73:F73 H73">
    <cfRule type="cellIs" dxfId="35" priority="75" operator="equal">
      <formula>0</formula>
    </cfRule>
  </conditionalFormatting>
  <conditionalFormatting sqref="B66:G66">
    <cfRule type="cellIs" dxfId="34" priority="81" operator="equal">
      <formula>0</formula>
    </cfRule>
  </conditionalFormatting>
  <conditionalFormatting sqref="B107:G107">
    <cfRule type="cellIs" dxfId="33" priority="77" operator="equal">
      <formula>0</formula>
    </cfRule>
  </conditionalFormatting>
  <conditionalFormatting sqref="B2:I2 B3 F3 B4:I4 C5:H6 B7:E7 G7:H7 B8:I9 H10 B10:B11 C11:I11 C32:D32 E32:I35 B33:D35 C38:D38 E38:G41 H38:I42 B39:D39 C40:D40 B41:D41 B42:G42 B43:C43 E43:F43 H43 B44:I49 C50:I50 I51 C52:I52 C56:I58 H59:I59 C60:I60 H61:I66 D62:E62 B67:I67 C68:I69 B70:I72 B78:D78 E78:I79 E85:G88 H85:I89 C98:I101 B111:I111 C112:I112 H114:I122 E123:I123 H125:I133 B133">
    <cfRule type="cellIs" dxfId="32" priority="89" operator="equal">
      <formula>0</formula>
    </cfRule>
  </conditionalFormatting>
  <conditionalFormatting sqref="B12:I12">
    <cfRule type="cellIs" dxfId="31" priority="70" operator="equal">
      <formula>0</formula>
    </cfRule>
  </conditionalFormatting>
  <conditionalFormatting sqref="B23:I31">
    <cfRule type="cellIs" dxfId="30" priority="58" operator="equal">
      <formula>0</formula>
    </cfRule>
  </conditionalFormatting>
  <conditionalFormatting sqref="B36:I37">
    <cfRule type="cellIs" dxfId="29" priority="34" operator="equal">
      <formula>0</formula>
    </cfRule>
  </conditionalFormatting>
  <conditionalFormatting sqref="B75:I77">
    <cfRule type="cellIs" dxfId="28" priority="79" operator="equal">
      <formula>0</formula>
    </cfRule>
  </conditionalFormatting>
  <conditionalFormatting sqref="B80:I84">
    <cfRule type="cellIs" dxfId="27" priority="28" operator="equal">
      <formula>0</formula>
    </cfRule>
  </conditionalFormatting>
  <conditionalFormatting sqref="B113:I113">
    <cfRule type="cellIs" dxfId="26" priority="57" operator="equal">
      <formula>0</formula>
    </cfRule>
  </conditionalFormatting>
  <conditionalFormatting sqref="B124:I124">
    <cfRule type="cellIs" dxfId="25" priority="52" operator="equal">
      <formula>0</formula>
    </cfRule>
  </conditionalFormatting>
  <conditionalFormatting sqref="B135:I135">
    <cfRule type="cellIs" dxfId="24" priority="38" operator="equal">
      <formula>0</formula>
    </cfRule>
  </conditionalFormatting>
  <conditionalFormatting sqref="B232:I1048576">
    <cfRule type="cellIs" dxfId="23" priority="71" operator="equal">
      <formula>0</formula>
    </cfRule>
  </conditionalFormatting>
  <conditionalFormatting sqref="C10">
    <cfRule type="cellIs" dxfId="22" priority="37" operator="equal">
      <formula>0</formula>
    </cfRule>
  </conditionalFormatting>
  <conditionalFormatting sqref="C27:C28 H27:H28">
    <cfRule type="cellIs" dxfId="21" priority="76" operator="equal">
      <formula>0</formula>
    </cfRule>
  </conditionalFormatting>
  <conditionalFormatting sqref="C59 E59:F59">
    <cfRule type="cellIs" dxfId="20" priority="33" operator="equal">
      <formula>0</formula>
    </cfRule>
  </conditionalFormatting>
  <conditionalFormatting sqref="C114:C123">
    <cfRule type="cellIs" dxfId="19" priority="21" operator="equal">
      <formula>0</formula>
    </cfRule>
  </conditionalFormatting>
  <conditionalFormatting sqref="C125:C133">
    <cfRule type="cellIs" dxfId="18" priority="39" operator="equal">
      <formula>0</formula>
    </cfRule>
  </conditionalFormatting>
  <conditionalFormatting sqref="C53:D55">
    <cfRule type="cellIs" dxfId="17" priority="14" operator="equal">
      <formula>0</formula>
    </cfRule>
  </conditionalFormatting>
  <conditionalFormatting sqref="C79:D79 C85:D85 B86:D86 C87:D87 B88:D88 B89:G89 B90:C90 E90:F90 H90 B91:I96 H102:I107 D103:E103 B108:I108 C109:I110">
    <cfRule type="cellIs" dxfId="16" priority="80" operator="equal">
      <formula>0</formula>
    </cfRule>
  </conditionalFormatting>
  <conditionalFormatting sqref="C97:D97">
    <cfRule type="cellIs" dxfId="15" priority="9" operator="equal">
      <formula>0</formula>
    </cfRule>
  </conditionalFormatting>
  <conditionalFormatting sqref="C61:F61">
    <cfRule type="cellIs" dxfId="14" priority="50" operator="equal">
      <formula>0</formula>
    </cfRule>
  </conditionalFormatting>
  <conditionalFormatting sqref="C64:G65">
    <cfRule type="cellIs" dxfId="13" priority="46" operator="equal">
      <formula>0</formula>
    </cfRule>
  </conditionalFormatting>
  <conditionalFormatting sqref="C102:G102 G103 B104:G104">
    <cfRule type="cellIs" dxfId="12" priority="78" operator="equal">
      <formula>0</formula>
    </cfRule>
  </conditionalFormatting>
  <conditionalFormatting sqref="C105:G106">
    <cfRule type="cellIs" dxfId="11" priority="42" operator="equal">
      <formula>0</formula>
    </cfRule>
  </conditionalFormatting>
  <conditionalFormatting sqref="C13:I22">
    <cfRule type="cellIs" dxfId="10" priority="17" operator="equal">
      <formula>0</formula>
    </cfRule>
  </conditionalFormatting>
  <conditionalFormatting sqref="D115:D123">
    <cfRule type="cellIs" dxfId="9" priority="53" operator="equal">
      <formula>0</formula>
    </cfRule>
  </conditionalFormatting>
  <conditionalFormatting sqref="D126:G133">
    <cfRule type="cellIs" dxfId="8" priority="2" operator="equal">
      <formula>0</formula>
    </cfRule>
  </conditionalFormatting>
  <conditionalFormatting sqref="E10:F10">
    <cfRule type="cellIs" dxfId="7" priority="36" operator="equal">
      <formula>0</formula>
    </cfRule>
  </conditionalFormatting>
  <conditionalFormatting sqref="E114:F122">
    <cfRule type="cellIs" dxfId="6" priority="20" operator="equal">
      <formula>0</formula>
    </cfRule>
  </conditionalFormatting>
  <conditionalFormatting sqref="E125:F125">
    <cfRule type="cellIs" dxfId="5" priority="1" operator="equal">
      <formula>0</formula>
    </cfRule>
  </conditionalFormatting>
  <conditionalFormatting sqref="F53:I55">
    <cfRule type="cellIs" dxfId="4" priority="12" operator="equal">
      <formula>0</formula>
    </cfRule>
  </conditionalFormatting>
  <conditionalFormatting sqref="F97:I97">
    <cfRule type="cellIs" dxfId="3" priority="7" operator="equal">
      <formula>0</formula>
    </cfRule>
  </conditionalFormatting>
  <conditionalFormatting sqref="G61:G62 B63:G63">
    <cfRule type="cellIs" dxfId="2" priority="82" operator="equal">
      <formula>0</formula>
    </cfRule>
  </conditionalFormatting>
  <conditionalFormatting sqref="G115:G122">
    <cfRule type="cellIs" dxfId="1" priority="22" operator="equal">
      <formula>0</formula>
    </cfRule>
  </conditionalFormatting>
  <conditionalFormatting sqref="I5:I7">
    <cfRule type="cellIs" dxfId="0" priority="25" operator="equal">
      <formula>0</formula>
    </cfRule>
  </conditionalFormatting>
  <pageMargins left="0.31496062992125984" right="0.31496062992125984" top="0.35433070866141736" bottom="0.35433070866141736" header="0.31496062992125984" footer="0.31496062992125984"/>
  <pageSetup paperSize="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INPUTS</vt:lpstr>
      <vt:lpstr>COSTS</vt:lpstr>
      <vt:lpstr>SUMMARY</vt:lpstr>
      <vt:lpstr>Workings Core</vt:lpstr>
      <vt:lpstr>Workings Stress One</vt:lpstr>
      <vt:lpstr>Workings Stress Two</vt:lpstr>
      <vt:lpstr>Base_summary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 Norris</dc:creator>
  <cp:lastModifiedBy>Anthony Apponyi</cp:lastModifiedBy>
  <cp:lastPrinted>2021-10-09T10:29:17Z</cp:lastPrinted>
  <dcterms:created xsi:type="dcterms:W3CDTF">2021-09-28T10:10:46Z</dcterms:created>
  <dcterms:modified xsi:type="dcterms:W3CDTF">2024-09-17T09:35:11Z</dcterms:modified>
</cp:coreProperties>
</file>